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omments2.xml" ContentType="application/vnd.openxmlformats-officedocument.spreadsheetml.comments+xml"/>
  <Override PartName="/xl/drawings/drawing7.xml" ContentType="application/vnd.openxmlformats-officedocument.drawing+xml"/>
  <Override PartName="/xl/comments3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4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95ce65fe04daea0b/Documentos/Proyecto Final 2022/Maquina de Traccion/calculos/git/"/>
    </mc:Choice>
  </mc:AlternateContent>
  <xr:revisionPtr revIDLastSave="336" documentId="8_{63B6206C-E617-41A8-BC76-9832AF6341FB}" xr6:coauthVersionLast="47" xr6:coauthVersionMax="47" xr10:uidLastSave="{E45C9A74-EA49-4A62-BE4F-9CD9EC735061}"/>
  <bookViews>
    <workbookView xWindow="14400" yWindow="8235" windowWidth="43200" windowHeight="23445" tabRatio="792" xr2:uid="{00000000-000D-0000-FFFF-FFFF00000000}"/>
  </bookViews>
  <sheets>
    <sheet name="Tornillo TR20x4" sheetId="1" r:id="rId1"/>
    <sheet name="Poleas y Correas" sheetId="2" r:id="rId2"/>
    <sheet name="Torque del motor v3" sheetId="7" r:id="rId3"/>
    <sheet name="Distancia entre ejes" sheetId="3" r:id="rId4"/>
    <sheet name="Esfuerzos en dientes de polea" sheetId="4" r:id="rId5"/>
    <sheet name="Torque del motor" sheetId="5" r:id="rId6"/>
    <sheet name="Torque del motor v2)" sheetId="6" r:id="rId7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3" i="7" l="1"/>
  <c r="Q4" i="7"/>
  <c r="Q5" i="7"/>
  <c r="Q6" i="7"/>
  <c r="Q7" i="7"/>
  <c r="Q8" i="7"/>
  <c r="Q2" i="7"/>
  <c r="S8" i="7"/>
  <c r="S6" i="7"/>
  <c r="S7" i="7" s="1"/>
  <c r="V4" i="7" s="1"/>
  <c r="P6" i="7"/>
  <c r="P7" i="7" s="1"/>
  <c r="S5" i="7"/>
  <c r="J5" i="7"/>
  <c r="J6" i="7" s="1"/>
  <c r="J7" i="7" s="1"/>
  <c r="J8" i="7" s="1"/>
  <c r="S4" i="7"/>
  <c r="V9" i="7" s="1"/>
  <c r="R4" i="7"/>
  <c r="R6" i="7" s="1"/>
  <c r="R7" i="7" s="1"/>
  <c r="R8" i="7" s="1"/>
  <c r="P4" i="7"/>
  <c r="P5" i="7" s="1"/>
  <c r="R3" i="7"/>
  <c r="P3" i="7"/>
  <c r="M3" i="7"/>
  <c r="M4" i="7" s="1"/>
  <c r="M5" i="7" s="1"/>
  <c r="M6" i="7" s="1"/>
  <c r="M7" i="7" s="1"/>
  <c r="M8" i="7" s="1"/>
  <c r="R2" i="7"/>
  <c r="P2" i="7"/>
  <c r="N2" i="7"/>
  <c r="N3" i="7" s="1"/>
  <c r="L2" i="7"/>
  <c r="J2" i="7"/>
  <c r="J3" i="7" s="1"/>
  <c r="J4" i="7" s="1"/>
  <c r="E2" i="7"/>
  <c r="E3" i="7" s="1"/>
  <c r="V9" i="6"/>
  <c r="V4" i="6"/>
  <c r="S4" i="6"/>
  <c r="S6" i="6"/>
  <c r="S7" i="6"/>
  <c r="S8" i="6"/>
  <c r="P6" i="6"/>
  <c r="O3" i="6"/>
  <c r="O4" i="6"/>
  <c r="O5" i="6"/>
  <c r="O6" i="6"/>
  <c r="O7" i="6"/>
  <c r="O8" i="6"/>
  <c r="O2" i="6"/>
  <c r="G3" i="5"/>
  <c r="G4" i="5"/>
  <c r="G5" i="5"/>
  <c r="G6" i="5"/>
  <c r="G7" i="5"/>
  <c r="G8" i="5"/>
  <c r="G10" i="5"/>
  <c r="G11" i="5"/>
  <c r="H11" i="5" s="1"/>
  <c r="J11" i="5" s="1"/>
  <c r="K11" i="5" s="1"/>
  <c r="G12" i="5"/>
  <c r="H12" i="5" s="1"/>
  <c r="J12" i="5" s="1"/>
  <c r="K12" i="5" s="1"/>
  <c r="G13" i="5"/>
  <c r="H13" i="5" s="1"/>
  <c r="J13" i="5" s="1"/>
  <c r="K13" i="5" s="1"/>
  <c r="G14" i="5"/>
  <c r="H14" i="5" s="1"/>
  <c r="J14" i="5" s="1"/>
  <c r="K14" i="5" s="1"/>
  <c r="G15" i="5"/>
  <c r="H15" i="5" s="1"/>
  <c r="J15" i="5" s="1"/>
  <c r="K15" i="5" s="1"/>
  <c r="G16" i="5"/>
  <c r="G2" i="5"/>
  <c r="C3" i="2"/>
  <c r="M65" i="1"/>
  <c r="M3" i="6"/>
  <c r="M4" i="6" s="1"/>
  <c r="M5" i="6" s="1"/>
  <c r="M6" i="6" s="1"/>
  <c r="M7" i="6" s="1"/>
  <c r="M8" i="6" s="1"/>
  <c r="D60" i="1"/>
  <c r="E60" i="1" s="1"/>
  <c r="S5" i="6"/>
  <c r="Q7" i="1"/>
  <c r="R12" i="5"/>
  <c r="J5" i="6"/>
  <c r="J6" i="6" s="1"/>
  <c r="J7" i="6" s="1"/>
  <c r="J8" i="6" s="1"/>
  <c r="R2" i="6"/>
  <c r="R3" i="6" s="1"/>
  <c r="R4" i="6" s="1"/>
  <c r="R6" i="6" s="1"/>
  <c r="R7" i="6" s="1"/>
  <c r="R8" i="6" s="1"/>
  <c r="P2" i="6"/>
  <c r="P3" i="6" s="1"/>
  <c r="P4" i="6" s="1"/>
  <c r="N2" i="6"/>
  <c r="N3" i="6" s="1"/>
  <c r="N4" i="6" s="1"/>
  <c r="N5" i="6" s="1"/>
  <c r="N6" i="6" s="1"/>
  <c r="N7" i="6" s="1"/>
  <c r="N8" i="6" s="1"/>
  <c r="L2" i="6"/>
  <c r="J2" i="6"/>
  <c r="J3" i="6" s="1"/>
  <c r="J4" i="6" s="1"/>
  <c r="N10" i="5"/>
  <c r="N11" i="5"/>
  <c r="N12" i="5"/>
  <c r="N14" i="5"/>
  <c r="N15" i="5"/>
  <c r="N16" i="5"/>
  <c r="O12" i="5"/>
  <c r="O14" i="5"/>
  <c r="O15" i="5"/>
  <c r="Q17" i="5"/>
  <c r="O5" i="5"/>
  <c r="O6" i="5"/>
  <c r="O8" i="5"/>
  <c r="R8" i="5"/>
  <c r="O16" i="5"/>
  <c r="O13" i="5"/>
  <c r="I13" i="5"/>
  <c r="I14" i="5"/>
  <c r="I15" i="5"/>
  <c r="I16" i="5"/>
  <c r="M10" i="5"/>
  <c r="M11" i="5"/>
  <c r="M12" i="5"/>
  <c r="L10" i="5"/>
  <c r="L11" i="5"/>
  <c r="L12" i="5"/>
  <c r="L13" i="5"/>
  <c r="L14" i="5"/>
  <c r="L15" i="5"/>
  <c r="L16" i="5"/>
  <c r="K10" i="5"/>
  <c r="I10" i="5"/>
  <c r="I11" i="5"/>
  <c r="I12" i="5"/>
  <c r="E10" i="5"/>
  <c r="K2" i="5"/>
  <c r="I5" i="5"/>
  <c r="I6" i="5"/>
  <c r="I7" i="5"/>
  <c r="I8" i="5"/>
  <c r="I2" i="5"/>
  <c r="I3" i="5"/>
  <c r="I4" i="5"/>
  <c r="L2" i="5"/>
  <c r="L3" i="5"/>
  <c r="N2" i="5"/>
  <c r="N3" i="5"/>
  <c r="N4" i="5"/>
  <c r="N6" i="5"/>
  <c r="N7" i="5"/>
  <c r="N8" i="5"/>
  <c r="M2" i="5"/>
  <c r="M3" i="5"/>
  <c r="M4" i="5"/>
  <c r="M6" i="5"/>
  <c r="M7" i="5"/>
  <c r="M8" i="5"/>
  <c r="O4" i="5"/>
  <c r="B13" i="4"/>
  <c r="B2" i="3"/>
  <c r="B5" i="3"/>
  <c r="B21" i="3"/>
  <c r="O7" i="5"/>
  <c r="E11" i="5"/>
  <c r="F10" i="5"/>
  <c r="P6" i="5"/>
  <c r="F11" i="5"/>
  <c r="E12" i="5"/>
  <c r="N13" i="5"/>
  <c r="M14" i="5"/>
  <c r="M15" i="5"/>
  <c r="M16" i="5"/>
  <c r="M13" i="5"/>
  <c r="N5" i="5"/>
  <c r="M5" i="5"/>
  <c r="L4" i="5"/>
  <c r="L5" i="5"/>
  <c r="L6" i="5"/>
  <c r="C3" i="4"/>
  <c r="C4" i="4"/>
  <c r="C5" i="4"/>
  <c r="C6" i="4"/>
  <c r="C7" i="4"/>
  <c r="C8" i="4"/>
  <c r="C9" i="4"/>
  <c r="C10" i="4"/>
  <c r="C11" i="4"/>
  <c r="C12" i="4"/>
  <c r="C2" i="4"/>
  <c r="E13" i="5"/>
  <c r="F12" i="5"/>
  <c r="L7" i="5"/>
  <c r="L8" i="5"/>
  <c r="E14" i="5"/>
  <c r="F13" i="5"/>
  <c r="E15" i="5"/>
  <c r="F14" i="5"/>
  <c r="F15" i="5"/>
  <c r="E16" i="5"/>
  <c r="F16" i="5"/>
  <c r="H16" i="5"/>
  <c r="J16" i="5" s="1"/>
  <c r="K16" i="5" s="1"/>
  <c r="H3" i="7" l="1"/>
  <c r="E4" i="7"/>
  <c r="F3" i="7"/>
  <c r="G3" i="7" s="1"/>
  <c r="I3" i="7" s="1"/>
  <c r="K3" i="7" s="1"/>
  <c r="L3" i="7" s="1"/>
  <c r="P8" i="7"/>
  <c r="N4" i="7"/>
  <c r="O3" i="7"/>
  <c r="R5" i="7"/>
  <c r="O2" i="7"/>
  <c r="F2" i="7"/>
  <c r="G2" i="7" s="1"/>
  <c r="H2" i="7"/>
  <c r="Q12" i="1"/>
  <c r="S7" i="1"/>
  <c r="Q15" i="1"/>
  <c r="K59" i="1"/>
  <c r="H50" i="1"/>
  <c r="H51" i="1" s="1"/>
  <c r="H48" i="1"/>
  <c r="K60" i="1"/>
  <c r="P5" i="6"/>
  <c r="R5" i="6"/>
  <c r="O4" i="7" l="1"/>
  <c r="N5" i="7"/>
  <c r="E5" i="7"/>
  <c r="H4" i="7"/>
  <c r="F4" i="7"/>
  <c r="G4" i="7" s="1"/>
  <c r="I4" i="7" s="1"/>
  <c r="K4" i="7" s="1"/>
  <c r="L4" i="7" s="1"/>
  <c r="P7" i="6"/>
  <c r="Q14" i="1"/>
  <c r="C5" i="2" s="1"/>
  <c r="I1" i="4" s="1"/>
  <c r="M59" i="1"/>
  <c r="J63" i="1" s="1"/>
  <c r="M63" i="1" s="1"/>
  <c r="E6" i="7" l="1"/>
  <c r="H5" i="7"/>
  <c r="F5" i="7"/>
  <c r="G5" i="7" s="1"/>
  <c r="I5" i="7" s="1"/>
  <c r="K5" i="7" s="1"/>
  <c r="L5" i="7" s="1"/>
  <c r="N6" i="7"/>
  <c r="O5" i="7"/>
  <c r="P8" i="6"/>
  <c r="D8" i="4"/>
  <c r="D9" i="4"/>
  <c r="D10" i="4"/>
  <c r="D11" i="4"/>
  <c r="D3" i="4"/>
  <c r="D4" i="4"/>
  <c r="D5" i="4"/>
  <c r="D6" i="4"/>
  <c r="D7" i="4"/>
  <c r="D12" i="4"/>
  <c r="D2" i="4"/>
  <c r="O59" i="1"/>
  <c r="H49" i="1"/>
  <c r="N7" i="7" l="1"/>
  <c r="O6" i="7"/>
  <c r="E7" i="7"/>
  <c r="F6" i="7"/>
  <c r="G6" i="7" s="1"/>
  <c r="I6" i="7" s="1"/>
  <c r="K6" i="7" s="1"/>
  <c r="L6" i="7" s="1"/>
  <c r="H6" i="7"/>
  <c r="O65" i="1"/>
  <c r="P67" i="1" s="1"/>
  <c r="I2" i="4"/>
  <c r="E8" i="7" l="1"/>
  <c r="H7" i="7"/>
  <c r="F7" i="7"/>
  <c r="G7" i="7" s="1"/>
  <c r="I7" i="7" s="1"/>
  <c r="K7" i="7" s="1"/>
  <c r="L7" i="7" s="1"/>
  <c r="N8" i="7"/>
  <c r="O8" i="7" s="1"/>
  <c r="O7" i="7"/>
  <c r="E2" i="6"/>
  <c r="H2" i="6" s="1"/>
  <c r="Q2" i="6" s="1"/>
  <c r="E2" i="5"/>
  <c r="H8" i="7" l="1"/>
  <c r="F8" i="7"/>
  <c r="G8" i="7" s="1"/>
  <c r="I8" i="7" s="1"/>
  <c r="K8" i="7" s="1"/>
  <c r="L8" i="7" s="1"/>
  <c r="E3" i="5"/>
  <c r="F2" i="5"/>
  <c r="F2" i="6"/>
  <c r="G2" i="6" s="1"/>
  <c r="E3" i="6"/>
  <c r="H3" i="6" s="1"/>
  <c r="Q3" i="6" s="1"/>
  <c r="F3" i="6" l="1"/>
  <c r="G3" i="6" s="1"/>
  <c r="E4" i="6"/>
  <c r="H4" i="6" s="1"/>
  <c r="Q4" i="6" s="1"/>
  <c r="E4" i="5"/>
  <c r="F3" i="5"/>
  <c r="H3" i="5" s="1"/>
  <c r="J3" i="5" s="1"/>
  <c r="K3" i="5" s="1"/>
  <c r="I3" i="6" l="1"/>
  <c r="K3" i="6" s="1"/>
  <c r="L3" i="6" s="1"/>
  <c r="F4" i="5"/>
  <c r="H4" i="5" s="1"/>
  <c r="J4" i="5" s="1"/>
  <c r="K4" i="5" s="1"/>
  <c r="E5" i="5"/>
  <c r="F4" i="6"/>
  <c r="G4" i="6" s="1"/>
  <c r="E5" i="6"/>
  <c r="E6" i="6" l="1"/>
  <c r="H5" i="6"/>
  <c r="Q5" i="6" s="1"/>
  <c r="F5" i="6"/>
  <c r="G5" i="6" s="1"/>
  <c r="I4" i="6"/>
  <c r="K4" i="6" s="1"/>
  <c r="L4" i="6" s="1"/>
  <c r="F5" i="5"/>
  <c r="H5" i="5" s="1"/>
  <c r="J5" i="5" s="1"/>
  <c r="K5" i="5" s="1"/>
  <c r="E6" i="5"/>
  <c r="H6" i="6" l="1"/>
  <c r="Q6" i="6" s="1"/>
  <c r="E7" i="6"/>
  <c r="H7" i="6" s="1"/>
  <c r="Q7" i="6" s="1"/>
  <c r="I5" i="6"/>
  <c r="K5" i="6" s="1"/>
  <c r="L5" i="6" s="1"/>
  <c r="E7" i="5"/>
  <c r="F6" i="5"/>
  <c r="H6" i="5" s="1"/>
  <c r="J6" i="5" s="1"/>
  <c r="K6" i="5" s="1"/>
  <c r="F6" i="6"/>
  <c r="G6" i="6" s="1"/>
  <c r="I6" i="6" l="1"/>
  <c r="K6" i="6" s="1"/>
  <c r="L6" i="6" s="1"/>
  <c r="E8" i="6"/>
  <c r="H8" i="6" s="1"/>
  <c r="Q8" i="6" s="1"/>
  <c r="F7" i="6"/>
  <c r="G7" i="6" s="1"/>
  <c r="E8" i="5"/>
  <c r="F8" i="5" s="1"/>
  <c r="H8" i="5" s="1"/>
  <c r="J8" i="5" s="1"/>
  <c r="K8" i="5" s="1"/>
  <c r="F7" i="5"/>
  <c r="H7" i="5" s="1"/>
  <c r="J7" i="5" s="1"/>
  <c r="K7" i="5" s="1"/>
  <c r="I7" i="6" l="1"/>
  <c r="K7" i="6" s="1"/>
  <c r="L7" i="6" s="1"/>
  <c r="F8" i="6"/>
  <c r="G8" i="6" s="1"/>
  <c r="I8" i="6" l="1"/>
  <c r="K8" i="6" s="1"/>
  <c r="L8" i="6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Usuario de Windows</author>
  </authors>
  <commentList>
    <comment ref="N2" authorId="0" shapeId="0" xr:uid="{49402D15-0490-4B91-BB6B-956ABAD0EB73}">
      <text>
        <r>
          <rPr>
            <b/>
            <sz val="9"/>
            <color indexed="81"/>
            <rFont val="Tahoma"/>
            <family val="2"/>
          </rPr>
          <t>Usuario de Windows:</t>
        </r>
        <r>
          <rPr>
            <sz val="9"/>
            <color indexed="81"/>
            <rFont val="Tahoma"/>
            <family val="2"/>
          </rPr>
          <t xml:space="preserve">
Para subir 5mm por min como pide la norma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Usuario de Windows</author>
  </authors>
  <commentList>
    <comment ref="L2" authorId="0" shapeId="0" xr:uid="{13CDC0C3-D0B8-478B-91D0-FA9A71ED4AD4}">
      <text>
        <r>
          <rPr>
            <b/>
            <sz val="9"/>
            <color indexed="81"/>
            <rFont val="Tahoma"/>
            <family val="2"/>
          </rPr>
          <t>Usuario de Windows:</t>
        </r>
        <r>
          <rPr>
            <sz val="9"/>
            <color indexed="81"/>
            <rFont val="Tahoma"/>
            <family val="2"/>
          </rPr>
          <t xml:space="preserve">
Para subir 5mm por min como pide la norma</t>
        </r>
      </text>
    </comment>
    <comment ref="L10" authorId="0" shapeId="0" xr:uid="{0E91DE10-7E35-4471-B6AF-7B3D0157CEB3}">
      <text>
        <r>
          <rPr>
            <b/>
            <sz val="9"/>
            <color indexed="81"/>
            <rFont val="Tahoma"/>
            <family val="2"/>
          </rPr>
          <t>Usuario de Windows:</t>
        </r>
        <r>
          <rPr>
            <sz val="9"/>
            <color indexed="81"/>
            <rFont val="Tahoma"/>
            <family val="2"/>
          </rPr>
          <t xml:space="preserve">
Para subir 5mm por min como pide la norma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Usuario de Windows</author>
  </authors>
  <commentList>
    <comment ref="N2" authorId="0" shapeId="0" xr:uid="{D0215858-7DE0-4C39-904C-4DB48ED71DBA}">
      <text>
        <r>
          <rPr>
            <b/>
            <sz val="9"/>
            <color indexed="81"/>
            <rFont val="Tahoma"/>
            <family val="2"/>
          </rPr>
          <t>Usuario de Windows:</t>
        </r>
        <r>
          <rPr>
            <sz val="9"/>
            <color indexed="81"/>
            <rFont val="Tahoma"/>
            <family val="2"/>
          </rPr>
          <t xml:space="preserve">
Para subir 5mm por min como pide la norma</t>
        </r>
      </text>
    </comment>
  </commentList>
</comments>
</file>

<file path=xl/sharedStrings.xml><?xml version="1.0" encoding="utf-8"?>
<sst xmlns="http://schemas.openxmlformats.org/spreadsheetml/2006/main" count="181" uniqueCount="106">
  <si>
    <t>Suponiendo un factor de seguridad de 2 y un largo maximo de 0.8m nos sale que cada uno de los 2 tornillos tiene que ser 20x4 o superior</t>
  </si>
  <si>
    <t>Se elijen 10kN como esfuerzo axial ya que la máxima sera como maximo de 10kN, dividido en 2 tornillos queda en 5kN que con el factor de seguridad de 2 termina siendo 10kN</t>
  </si>
  <si>
    <t>Torque Necesario</t>
  </si>
  <si>
    <t>C= torque necesario [Nm]</t>
  </si>
  <si>
    <t>F= Fuerza Axial [N]</t>
  </si>
  <si>
    <t>P=Paso del tornillo [mm]</t>
  </si>
  <si>
    <t>n=Eficiencia (asumiendo 0.2 como factor de friccion)</t>
  </si>
  <si>
    <t>C= torque necesario [kgcm]</t>
  </si>
  <si>
    <t>E = Factor de eficiencia en transmision</t>
  </si>
  <si>
    <t>Cc = Torque correjido por eficiencia en transmision [kgcm]</t>
  </si>
  <si>
    <t>Cc = Torque correjido por eficiencia en transmision [Nm]</t>
  </si>
  <si>
    <t>Cálculo teórico - Tensión</t>
  </si>
  <si>
    <t>F= esfuerzo de tracción [N]</t>
  </si>
  <si>
    <t>α=angulo de la hélice</t>
  </si>
  <si>
    <t>P=Fuerza axial actuando en el tornillo [N]</t>
  </si>
  <si>
    <t>N=esfuerzo normal de reacción [N]</t>
  </si>
  <si>
    <t>La tuerca puede ser de nucleo de bronce y las bridas en acero, como contenida dentro de la pieza de acero</t>
  </si>
  <si>
    <t>µN=esfuerzo por fricción</t>
  </si>
  <si>
    <t>dm=diametro medio del tornillo [mm]</t>
  </si>
  <si>
    <t>L=paso del tornillo [mm]</t>
  </si>
  <si>
    <t>µ= coeficiente de friccion tornillo-tuerca</t>
  </si>
  <si>
    <t>consideramos el estatico ya que el tornillo se mueve muy lento y es el peor de los casos que el motor tiene que vencer</t>
  </si>
  <si>
    <t>acero bronce (0,1-0,25)</t>
  </si>
  <si>
    <t>acero - acero (0,57 - 0,7)</t>
  </si>
  <si>
    <t xml:space="preserve"> </t>
  </si>
  <si>
    <t>N --&gt;</t>
  </si>
  <si>
    <t>kg</t>
  </si>
  <si>
    <t>Nmm</t>
  </si>
  <si>
    <t>Nm</t>
  </si>
  <si>
    <t>T con perdidas</t>
  </si>
  <si>
    <t>kgcm</t>
  </si>
  <si>
    <t>fuerza tangente en tornillo</t>
  </si>
  <si>
    <t>4 tornillos  a 2cm del centro</t>
  </si>
  <si>
    <t>VALIDACIÓN DEL COEFICIENTE DE FRICCIÓN DINÁMICA MEDIANTE TRES PROCEDIMIENTOS PARA MATERIALES DE USO COMÚN EN INGENIERÍA</t>
  </si>
  <si>
    <t>Ver pagina 403 del shigley</t>
  </si>
  <si>
    <t>Diametro primitivo polea tornillo [mm]</t>
  </si>
  <si>
    <t>Fuerza tangencial en polea tornillo [kg]</t>
  </si>
  <si>
    <t>Con factor de seguridad de 2 puedo elegir una correa de ancho 12mm que soporta 39kg</t>
  </si>
  <si>
    <t>T5 gates</t>
  </si>
  <si>
    <t>Es mejor el perfil del "diente" de la polea T5 a un HTD5 ya que tiene mas cuerpo. Lo mismo entre un HTD8 y un T10.</t>
  </si>
  <si>
    <t>Esto es teniendo en cuenta que la polea sera hecha con impresion 3D.</t>
  </si>
  <si>
    <t>Tambien en lugar de T5 se puede usar la linea XL que similar (iso 5294) y para T10 Linea L, por ejemplo de la marca optibelt</t>
  </si>
  <si>
    <t>Las correas de paso XL o L (pulgadas) son mucho mas usadas y se encuentran en todas partes, se usan mucho como autopartes.</t>
  </si>
  <si>
    <t>E=</t>
  </si>
  <si>
    <t>--&gt;</t>
  </si>
  <si>
    <t>Tomo E=</t>
  </si>
  <si>
    <t>https://ingemecanica.com/tutorialsemanal/tutorialn121.html</t>
  </si>
  <si>
    <t>R=</t>
  </si>
  <si>
    <t>d=</t>
  </si>
  <si>
    <t>D=</t>
  </si>
  <si>
    <t>Lc=</t>
  </si>
  <si>
    <t>Elijo la correa de largo 660mm</t>
  </si>
  <si>
    <t>AT10/660BTX de 20mm de ancho</t>
  </si>
  <si>
    <t>Diente</t>
  </si>
  <si>
    <t>MPa a 30Nm</t>
  </si>
  <si>
    <t>% del esfuerzo</t>
  </si>
  <si>
    <t>Carga por diente [Kg]</t>
  </si>
  <si>
    <t>Fuerza tangencial en diente [Kg]</t>
  </si>
  <si>
    <t>Torque</t>
  </si>
  <si>
    <t>El diente mas solicitado es el n1 y soporta casi el 18% de la carga de la correa al generar el torque</t>
  </si>
  <si>
    <t>Se ve que tanto para la polea del tornillo como la de mando al ser la misma fuerza tangencial que soporta la correa</t>
  </si>
  <si>
    <t>Comparten el mismo esfuerzo de 3,77 kg</t>
  </si>
  <si>
    <t>En nuestro caso al igual que el paper necesitamos 15Nm de torque. El ancho de la polea usado en el paper es de 19mm</t>
  </si>
  <si>
    <t>Para este caso se observa un esfuerzo en el diente de 17,5MPa con lo que estamos dentro del rango de trabajo de un</t>
  </si>
  <si>
    <t>plastico como el PLA Max (79MPa).</t>
  </si>
  <si>
    <t>https://d1wqtxts1xzle7.cloudfront.net/50806075/4-38-with-cover-page-v2.pdf?Expires=1666291549&amp;Signature=fdxhqbYUlMi7~2kP-KgGUahAN07sK2ltdQe-26HHQ3F9xR0MAO5MTLfqTjuKFP7XCU~OB3JAPQ-Mum~AI~CDK452ey0I3RiJDpBxdIfRPiXp-z~GFNhkGaz2Hb1dGIoMq6dU06RfEK7tbi3eWydQwee0uz6PwLxNZ-kbVNw1agcnL9xCTC1mjZxiDdmrVlQlkL-hvE6Hqq202~9NRCXk0FC9zyW2cW20d0uZb5cKvnBeJJJUGT8HaTqPFtyKt2dXuQ782m0PmO~ed56elavDPttra2pKYjGHSJYS9u1PXPoX-WSenMJrMP5IT8Sc9oBCTIH1OZ~WQokjLEsNB6TZmA__&amp;Key-Pair-Id=APKAJLOHF5GGSLRBV4ZA</t>
  </si>
  <si>
    <t>El caso de estudio de este paper tiene valores similares al de la UTM</t>
  </si>
  <si>
    <t>Correa</t>
  </si>
  <si>
    <t>Dientes</t>
  </si>
  <si>
    <t>Ø primitivo</t>
  </si>
  <si>
    <t>Torque Nm</t>
  </si>
  <si>
    <t>Ft [Kg]</t>
  </si>
  <si>
    <t>F [Kg] en diente</t>
  </si>
  <si>
    <t>Area diente cm^2 A=10mm</t>
  </si>
  <si>
    <t>Tension de corte en Kg/cm2</t>
  </si>
  <si>
    <t>Tension de corte en MPA</t>
  </si>
  <si>
    <t>RPM min 5mmXmin</t>
  </si>
  <si>
    <t>RPM max 50mmXmin</t>
  </si>
  <si>
    <t>RPM mov. 200mmXmin</t>
  </si>
  <si>
    <t>Relacion i</t>
  </si>
  <si>
    <t>tornillo 1</t>
  </si>
  <si>
    <t>T10</t>
  </si>
  <si>
    <t>polea 1 (Tornillo)</t>
  </si>
  <si>
    <t>polea 2 (Central moto)</t>
  </si>
  <si>
    <t>polea 3 (Central moto)</t>
  </si>
  <si>
    <t>T5</t>
  </si>
  <si>
    <t>polea  4 (motorreductor 2)</t>
  </si>
  <si>
    <t>Polea 5 (motorreductor 2)</t>
  </si>
  <si>
    <t>Polea 6 (eje motor)</t>
  </si>
  <si>
    <t>it=</t>
  </si>
  <si>
    <t>L</t>
  </si>
  <si>
    <t>it caja</t>
  </si>
  <si>
    <t>XL</t>
  </si>
  <si>
    <t>NEMA34: LEADSHINE</t>
  </si>
  <si>
    <t>Ft [N]</t>
  </si>
  <si>
    <t>RPM min 1mmXmin</t>
  </si>
  <si>
    <t>Potencia a 5mm/min [W]</t>
  </si>
  <si>
    <t>Potencia a 50mm/min [W]</t>
  </si>
  <si>
    <t>IT caja=</t>
  </si>
  <si>
    <t>IT=</t>
  </si>
  <si>
    <t>Polea Z2 (Eje tensor)</t>
  </si>
  <si>
    <t>polea  Z3 (Eje tensor)</t>
  </si>
  <si>
    <t>Polea Z1 (eje mando)</t>
  </si>
  <si>
    <t>polea Z4 (Eje mando)</t>
  </si>
  <si>
    <t>polea Z5 (Eje mando)</t>
  </si>
  <si>
    <t>polea Z6 (Tornillo)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</si>
</sst>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1"/>
      <color theme="1"/>
      <name val="Calibri"/>
      <family val="2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1"/>
      <color rgb="FFFF0000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11"/>
      <color theme="4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7">
    <xf numFmtId="0" fontId="0" fillId="0" borderId="0" xfId="0"/>
    <xf numFmtId="2" fontId="0" fillId="0" borderId="0" xfId="0" applyNumberFormat="1"/>
    <xf numFmtId="0" fontId="2" fillId="0" borderId="0" xfId="0" applyFont="1"/>
    <xf numFmtId="0" fontId="3" fillId="0" borderId="0" xfId="0" applyFont="1"/>
    <xf numFmtId="164" fontId="0" fillId="0" borderId="0" xfId="0" applyNumberFormat="1"/>
    <xf numFmtId="0" fontId="0" fillId="0" borderId="0" xfId="0" applyAlignment="1">
      <alignment horizontal="right"/>
    </xf>
    <xf numFmtId="164" fontId="0" fillId="0" borderId="0" xfId="0" applyNumberFormat="1" applyAlignment="1">
      <alignment horizontal="left"/>
    </xf>
    <xf numFmtId="0" fontId="4" fillId="0" borderId="0" xfId="1"/>
    <xf numFmtId="165" fontId="0" fillId="0" borderId="0" xfId="0" applyNumberFormat="1"/>
    <xf numFmtId="0" fontId="0" fillId="0" borderId="1" xfId="0" applyBorder="1"/>
    <xf numFmtId="2" fontId="0" fillId="0" borderId="1" xfId="0" applyNumberFormat="1" applyBorder="1"/>
    <xf numFmtId="0" fontId="0" fillId="0" borderId="2" xfId="0" applyBorder="1"/>
    <xf numFmtId="2" fontId="0" fillId="0" borderId="2" xfId="0" applyNumberFormat="1" applyBorder="1"/>
    <xf numFmtId="2" fontId="0" fillId="0" borderId="3" xfId="0" applyNumberFormat="1" applyBorder="1"/>
    <xf numFmtId="0" fontId="1" fillId="0" borderId="0" xfId="0" applyFont="1"/>
    <xf numFmtId="2" fontId="0" fillId="0" borderId="0" xfId="0" applyNumberFormat="1" applyAlignment="1">
      <alignment horizontal="left"/>
    </xf>
    <xf numFmtId="1" fontId="0" fillId="0" borderId="0" xfId="0" applyNumberFormat="1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2" fontId="7" fillId="0" borderId="0" xfId="0" applyNumberFormat="1" applyFont="1"/>
    <xf numFmtId="0" fontId="8" fillId="0" borderId="0" xfId="0" applyFont="1"/>
    <xf numFmtId="0" fontId="0" fillId="0" borderId="0" xfId="0" applyAlignment="1">
      <alignment horizontal="left"/>
    </xf>
    <xf numFmtId="0" fontId="9" fillId="0" borderId="0" xfId="0" applyFont="1"/>
    <xf numFmtId="0" fontId="0" fillId="6" borderId="0" xfId="0" applyFill="1"/>
    <xf numFmtId="0" fontId="1" fillId="0" borderId="0" xfId="0" applyFont="1" applyAlignment="1">
      <alignment horizontal="center"/>
    </xf>
  </cellXfs>
  <cellStyles count="2">
    <cellStyle name="Hyperlink" xfId="1" xr:uid="{00000000-000B-0000-0000-000008000000}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2" Type="http://schemas.openxmlformats.org/officeDocument/2006/relationships/image" Target="../media/image17.png"/><Relationship Id="rId16" Type="http://schemas.openxmlformats.org/officeDocument/2006/relationships/image" Target="../media/image31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5" Type="http://schemas.openxmlformats.org/officeDocument/2006/relationships/image" Target="../media/image3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4" Type="http://schemas.openxmlformats.org/officeDocument/2006/relationships/image" Target="../media/image3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41.svg"/><Relationship Id="rId1" Type="http://schemas.openxmlformats.org/officeDocument/2006/relationships/image" Target="../media/image40.png"/><Relationship Id="rId6" Type="http://schemas.openxmlformats.org/officeDocument/2006/relationships/image" Target="../media/image43.png"/><Relationship Id="rId5" Type="http://schemas.openxmlformats.org/officeDocument/2006/relationships/image" Target="../media/image42.png"/><Relationship Id="rId4" Type="http://schemas.openxmlformats.org/officeDocument/2006/relationships/image" Target="../media/image3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57150</xdr:rowOff>
    </xdr:from>
    <xdr:to>
      <xdr:col>8</xdr:col>
      <xdr:colOff>413385</xdr:colOff>
      <xdr:row>42</xdr:row>
      <xdr:rowOff>123825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EFD88D2-A633-E466-5415-42D1DF0B8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914650"/>
          <a:ext cx="7195185" cy="52101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</xdr:row>
      <xdr:rowOff>9525</xdr:rowOff>
    </xdr:from>
    <xdr:to>
      <xdr:col>6</xdr:col>
      <xdr:colOff>1809750</xdr:colOff>
      <xdr:row>13</xdr:row>
      <xdr:rowOff>85725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2DBCBDC-B144-6783-D2B1-ADEB807814D8}"/>
            </a:ext>
            <a:ext uri="{147F2762-F138-4A5C-976F-8EAC2B608ADB}">
              <a16:predDERef xmlns:a16="http://schemas.microsoft.com/office/drawing/2014/main" pred="{9EFD88D2-A633-E466-5415-42D1DF0B8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" y="1724025"/>
          <a:ext cx="5314950" cy="838200"/>
        </a:xfrm>
        <a:prstGeom prst="rect">
          <a:avLst/>
        </a:prstGeom>
      </xdr:spPr>
    </xdr:pic>
    <xdr:clientData/>
  </xdr:twoCellAnchor>
  <xdr:twoCellAnchor editAs="oneCell">
    <xdr:from>
      <xdr:col>14</xdr:col>
      <xdr:colOff>485775</xdr:colOff>
      <xdr:row>15</xdr:row>
      <xdr:rowOff>114300</xdr:rowOff>
    </xdr:from>
    <xdr:to>
      <xdr:col>17</xdr:col>
      <xdr:colOff>573838</xdr:colOff>
      <xdr:row>44</xdr:row>
      <xdr:rowOff>129982</xdr:rowOff>
    </xdr:to>
    <xdr:pic>
      <xdr:nvPicPr>
        <xdr:cNvPr id="16" name="Imagen 3">
          <a:extLst>
            <a:ext uri="{FF2B5EF4-FFF2-40B4-BE49-F238E27FC236}">
              <a16:creationId xmlns:a16="http://schemas.microsoft.com/office/drawing/2014/main" id="{499B0491-FE84-3AB8-99EC-BC10B2DBE994}"/>
            </a:ext>
            <a:ext uri="{147F2762-F138-4A5C-976F-8EAC2B608ADB}">
              <a16:predDERef xmlns:a16="http://schemas.microsoft.com/office/drawing/2014/main" pred="{12DBCBDC-B144-6783-D2B1-ADEB80781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58500" y="2971800"/>
          <a:ext cx="4867708" cy="531920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47</xdr:row>
      <xdr:rowOff>180975</xdr:rowOff>
    </xdr:from>
    <xdr:to>
      <xdr:col>5</xdr:col>
      <xdr:colOff>482217</xdr:colOff>
      <xdr:row>56</xdr:row>
      <xdr:rowOff>165877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82481B2-9E22-0E33-3C5A-AD9981581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0075" y="9277350"/>
          <a:ext cx="2834892" cy="16994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571500</xdr:colOff>
      <xdr:row>60</xdr:row>
      <xdr:rowOff>106680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FDCDCDA-4EC3-6B86-DADA-6514B90AD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0751820"/>
          <a:ext cx="1181100" cy="4724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56</xdr:row>
      <xdr:rowOff>99060</xdr:rowOff>
    </xdr:from>
    <xdr:to>
      <xdr:col>6</xdr:col>
      <xdr:colOff>2238570</xdr:colOff>
      <xdr:row>60</xdr:row>
      <xdr:rowOff>152468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FBD242D-BE1B-CF6B-D449-E9C9ACE4F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0485120"/>
          <a:ext cx="2248095" cy="784928"/>
        </a:xfrm>
        <a:prstGeom prst="rect">
          <a:avLst/>
        </a:prstGeom>
      </xdr:spPr>
    </xdr:pic>
    <xdr:clientData/>
  </xdr:twoCellAnchor>
  <xdr:twoCellAnchor editAs="oneCell">
    <xdr:from>
      <xdr:col>7</xdr:col>
      <xdr:colOff>175260</xdr:colOff>
      <xdr:row>57</xdr:row>
      <xdr:rowOff>53340</xdr:rowOff>
    </xdr:from>
    <xdr:to>
      <xdr:col>9</xdr:col>
      <xdr:colOff>457347</xdr:colOff>
      <xdr:row>60</xdr:row>
      <xdr:rowOff>15284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E221E8D-1299-30D1-A08B-7945A3706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34100" y="10622280"/>
          <a:ext cx="1691787" cy="51058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61</xdr:row>
      <xdr:rowOff>0</xdr:rowOff>
    </xdr:from>
    <xdr:to>
      <xdr:col>8</xdr:col>
      <xdr:colOff>232498</xdr:colOff>
      <xdr:row>63</xdr:row>
      <xdr:rowOff>76238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956A027-860D-F605-8F40-675432F0F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58840" y="11300460"/>
          <a:ext cx="1013548" cy="441998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61</xdr:row>
      <xdr:rowOff>38100</xdr:rowOff>
    </xdr:from>
    <xdr:to>
      <xdr:col>6</xdr:col>
      <xdr:colOff>1333500</xdr:colOff>
      <xdr:row>75</xdr:row>
      <xdr:rowOff>28575</xdr:rowOff>
    </xdr:to>
    <xdr:pic>
      <xdr:nvPicPr>
        <xdr:cNvPr id="11" name="Imagen 9">
          <a:extLst>
            <a:ext uri="{FF2B5EF4-FFF2-40B4-BE49-F238E27FC236}">
              <a16:creationId xmlns:a16="http://schemas.microsoft.com/office/drawing/2014/main" id="{4D54B566-B752-A569-272C-F136E634B644}"/>
            </a:ext>
            <a:ext uri="{147F2762-F138-4A5C-976F-8EAC2B608ADB}">
              <a16:predDERef xmlns:a16="http://schemas.microsoft.com/office/drawing/2014/main" pred="{E956A027-860D-F605-8F40-675432F0F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11801475"/>
          <a:ext cx="4572000" cy="2657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15240</xdr:rowOff>
    </xdr:from>
    <xdr:to>
      <xdr:col>6</xdr:col>
      <xdr:colOff>1619250</xdr:colOff>
      <xdr:row>96</xdr:row>
      <xdr:rowOff>120015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D0067E47-0148-6466-E74E-E587766CF7F3}"/>
            </a:ext>
            <a:ext uri="{147F2762-F138-4A5C-976F-8EAC2B608ADB}">
              <a16:predDERef xmlns:a16="http://schemas.microsoft.com/office/drawing/2014/main" pred="{4D54B566-B752-A569-272C-F136E634B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14058900"/>
          <a:ext cx="4667250" cy="37623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79</xdr:row>
      <xdr:rowOff>0</xdr:rowOff>
    </xdr:from>
    <xdr:to>
      <xdr:col>15</xdr:col>
      <xdr:colOff>276225</xdr:colOff>
      <xdr:row>85</xdr:row>
      <xdr:rowOff>57150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461EDDA-AC2E-DB8C-7A6C-90F1B5E37FA1}"/>
            </a:ext>
            <a:ext uri="{147F2762-F138-4A5C-976F-8EAC2B608ADB}">
              <a16:predDERef xmlns:a16="http://schemas.microsoft.com/office/drawing/2014/main" pred="{D0067E47-0148-6466-E74E-E587766C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67500" y="15192375"/>
          <a:ext cx="4572000" cy="12001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86</xdr:row>
      <xdr:rowOff>0</xdr:rowOff>
    </xdr:from>
    <xdr:to>
      <xdr:col>15</xdr:col>
      <xdr:colOff>276225</xdr:colOff>
      <xdr:row>93</xdr:row>
      <xdr:rowOff>161925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C280AD44-A6AC-9715-4ABC-39B1EA508100}"/>
            </a:ext>
            <a:ext uri="{147F2762-F138-4A5C-976F-8EAC2B608ADB}">
              <a16:predDERef xmlns:a16="http://schemas.microsoft.com/office/drawing/2014/main" pred="{F461EDDA-AC2E-DB8C-7A6C-90F1B5E37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0" y="16525875"/>
          <a:ext cx="4572000" cy="14954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95</xdr:row>
      <xdr:rowOff>0</xdr:rowOff>
    </xdr:from>
    <xdr:to>
      <xdr:col>15</xdr:col>
      <xdr:colOff>276225</xdr:colOff>
      <xdr:row>103</xdr:row>
      <xdr:rowOff>28575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4A5601D-9A86-7639-7C31-A0BCEBF1B248}"/>
            </a:ext>
            <a:ext uri="{147F2762-F138-4A5C-976F-8EAC2B608ADB}">
              <a16:predDERef xmlns:a16="http://schemas.microsoft.com/office/drawing/2014/main" pred="{C280AD44-A6AC-9715-4ABC-39B1EA508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00" y="18240375"/>
          <a:ext cx="4572000" cy="1552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7</xdr:col>
      <xdr:colOff>99553</xdr:colOff>
      <xdr:row>129</xdr:row>
      <xdr:rowOff>46215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45463559-323C-40B5-6E0C-511CBED51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18067020"/>
          <a:ext cx="5692633" cy="57154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25</xdr:col>
      <xdr:colOff>303277</xdr:colOff>
      <xdr:row>133</xdr:row>
      <xdr:rowOff>170786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1B649CAD-7B81-FBE4-9325-7C8A7E459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48600" y="20335875"/>
          <a:ext cx="12180952" cy="53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45</xdr:row>
      <xdr:rowOff>142875</xdr:rowOff>
    </xdr:from>
    <xdr:to>
      <xdr:col>12</xdr:col>
      <xdr:colOff>661502</xdr:colOff>
      <xdr:row>67</xdr:row>
      <xdr:rowOff>46060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8CC443D-7644-5659-DCC2-112ED06646A0}"/>
            </a:ext>
            <a:ext uri="{147F2762-F138-4A5C-976F-8EAC2B608ADB}">
              <a16:predDERef xmlns:a16="http://schemas.microsoft.com/office/drawing/2014/main" pred="{EFA88B27-6E09-87B6-40EE-106E9EA13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05650" y="8286750"/>
          <a:ext cx="5204927" cy="38846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83820</xdr:rowOff>
    </xdr:from>
    <xdr:to>
      <xdr:col>1</xdr:col>
      <xdr:colOff>3040712</xdr:colOff>
      <xdr:row>54</xdr:row>
      <xdr:rowOff>30983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633C4800-3266-25A2-50C5-DA0F353A6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24300"/>
          <a:ext cx="3833192" cy="57993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71182</xdr:rowOff>
    </xdr:from>
    <xdr:to>
      <xdr:col>4</xdr:col>
      <xdr:colOff>480060</xdr:colOff>
      <xdr:row>77</xdr:row>
      <xdr:rowOff>30880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F6B92DA-362C-2997-CEF3-DE675241B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63822"/>
          <a:ext cx="6217920" cy="41659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106680</xdr:rowOff>
    </xdr:from>
    <xdr:to>
      <xdr:col>5</xdr:col>
      <xdr:colOff>427323</xdr:colOff>
      <xdr:row>104</xdr:row>
      <xdr:rowOff>30901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CC06429-B5C8-3D50-70FD-F0628078F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188440"/>
          <a:ext cx="6927183" cy="4861981"/>
        </a:xfrm>
        <a:prstGeom prst="rect">
          <a:avLst/>
        </a:prstGeom>
      </xdr:spPr>
    </xdr:pic>
    <xdr:clientData/>
  </xdr:twoCellAnchor>
  <xdr:twoCellAnchor editAs="oneCell">
    <xdr:from>
      <xdr:col>0</xdr:col>
      <xdr:colOff>99060</xdr:colOff>
      <xdr:row>104</xdr:row>
      <xdr:rowOff>68580</xdr:rowOff>
    </xdr:from>
    <xdr:to>
      <xdr:col>5</xdr:col>
      <xdr:colOff>404452</xdr:colOff>
      <xdr:row>122</xdr:row>
      <xdr:rowOff>129831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DCFEA53-1288-D3C0-E155-56156DB59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060" y="19088100"/>
          <a:ext cx="6805252" cy="3353091"/>
        </a:xfrm>
        <a:prstGeom prst="rect">
          <a:avLst/>
        </a:prstGeom>
      </xdr:spPr>
    </xdr:pic>
    <xdr:clientData/>
  </xdr:twoCellAnchor>
  <xdr:twoCellAnchor editAs="oneCell">
    <xdr:from>
      <xdr:col>13</xdr:col>
      <xdr:colOff>632460</xdr:colOff>
      <xdr:row>1</xdr:row>
      <xdr:rowOff>0</xdr:rowOff>
    </xdr:from>
    <xdr:to>
      <xdr:col>22</xdr:col>
      <xdr:colOff>526389</xdr:colOff>
      <xdr:row>18</xdr:row>
      <xdr:rowOff>68855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16464BA-FD44-1CA6-E82A-C1AC1E5E2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02640" y="182880"/>
          <a:ext cx="7026249" cy="31778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3</xdr:col>
      <xdr:colOff>290014</xdr:colOff>
      <xdr:row>22</xdr:row>
      <xdr:rowOff>84081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38DFF17E-ABD8-CA94-2CFB-63C78FACC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914400"/>
          <a:ext cx="5235394" cy="301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3080385</xdr:colOff>
      <xdr:row>24</xdr:row>
      <xdr:rowOff>9526</xdr:rowOff>
    </xdr:from>
    <xdr:to>
      <xdr:col>5</xdr:col>
      <xdr:colOff>685656</xdr:colOff>
      <xdr:row>40</xdr:row>
      <xdr:rowOff>38101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E6548BE-BA43-EAB1-9D42-693CFD6FB999}"/>
            </a:ext>
            <a:ext uri="{147F2762-F138-4A5C-976F-8EAC2B608ADB}">
              <a16:predDERef xmlns:a16="http://schemas.microsoft.com/office/drawing/2014/main" pred="{38DFF17E-ABD8-CA94-2CFB-63C78FACC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42385" y="4352926"/>
          <a:ext cx="3158346" cy="29241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71</xdr:row>
      <xdr:rowOff>0</xdr:rowOff>
    </xdr:from>
    <xdr:to>
      <xdr:col>12</xdr:col>
      <xdr:colOff>747237</xdr:colOff>
      <xdr:row>104</xdr:row>
      <xdr:rowOff>38626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92B17B49-02A5-2D6B-93C9-A63C8D79F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22820" y="12801600"/>
          <a:ext cx="5502117" cy="6073666"/>
        </a:xfrm>
        <a:prstGeom prst="rect">
          <a:avLst/>
        </a:prstGeom>
      </xdr:spPr>
    </xdr:pic>
    <xdr:clientData/>
  </xdr:twoCellAnchor>
  <xdr:twoCellAnchor>
    <xdr:from>
      <xdr:col>1</xdr:col>
      <xdr:colOff>1209675</xdr:colOff>
      <xdr:row>16</xdr:row>
      <xdr:rowOff>142875</xdr:rowOff>
    </xdr:from>
    <xdr:to>
      <xdr:col>1</xdr:col>
      <xdr:colOff>2733675</xdr:colOff>
      <xdr:row>18</xdr:row>
      <xdr:rowOff>85725</xdr:rowOff>
    </xdr:to>
    <xdr:sp macro="" textlink="">
      <xdr:nvSpPr>
        <xdr:cNvPr id="13" name="Rectángulo redondeado 12">
          <a:extLst>
            <a:ext uri="{FF2B5EF4-FFF2-40B4-BE49-F238E27FC236}">
              <a16:creationId xmlns:a16="http://schemas.microsoft.com/office/drawing/2014/main" id="{FEF305F6-BAA3-8FA6-8906-316CCEC29B12}"/>
            </a:ext>
            <a:ext uri="{147F2762-F138-4A5C-976F-8EAC2B608ADB}">
              <a16:predDERef xmlns:a16="http://schemas.microsoft.com/office/drawing/2014/main" pred="{92B17B49-02A5-2D6B-93C9-A63C8D79F948}"/>
            </a:ext>
          </a:extLst>
        </xdr:cNvPr>
        <xdr:cNvSpPr/>
      </xdr:nvSpPr>
      <xdr:spPr>
        <a:xfrm>
          <a:off x="1971675" y="2857500"/>
          <a:ext cx="1524000" cy="304800"/>
        </a:xfrm>
        <a:prstGeom prst="roundRect">
          <a:avLst/>
        </a:prstGeom>
        <a:noFill/>
        <a:ln w="12700">
          <a:solidFill>
            <a:srgbClr val="AD5921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14</xdr:col>
      <xdr:colOff>714375</xdr:colOff>
      <xdr:row>19</xdr:row>
      <xdr:rowOff>85725</xdr:rowOff>
    </xdr:from>
    <xdr:to>
      <xdr:col>25</xdr:col>
      <xdr:colOff>542925</xdr:colOff>
      <xdr:row>33</xdr:row>
      <xdr:rowOff>85725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B68809BC-A006-E947-F6C2-EE576A9E98A6}"/>
            </a:ext>
            <a:ext uri="{147F2762-F138-4A5C-976F-8EAC2B608ADB}">
              <a16:predDERef xmlns:a16="http://schemas.microsoft.com/office/drawing/2014/main" pred="{FEF305F6-BAA3-8FA6-8906-316CCEC29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887450" y="3524250"/>
          <a:ext cx="8210550" cy="2533650"/>
        </a:xfrm>
        <a:prstGeom prst="rect">
          <a:avLst/>
        </a:prstGeom>
      </xdr:spPr>
    </xdr:pic>
    <xdr:clientData/>
  </xdr:twoCellAnchor>
  <xdr:twoCellAnchor editAs="oneCell">
    <xdr:from>
      <xdr:col>4</xdr:col>
      <xdr:colOff>480060</xdr:colOff>
      <xdr:row>0</xdr:row>
      <xdr:rowOff>0</xdr:rowOff>
    </xdr:from>
    <xdr:to>
      <xdr:col>13</xdr:col>
      <xdr:colOff>511155</xdr:colOff>
      <xdr:row>24</xdr:row>
      <xdr:rowOff>8001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B0AFA28E-3767-B145-7257-A3AA736BF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95060" y="0"/>
          <a:ext cx="7094835" cy="439712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7620</xdr:rowOff>
    </xdr:from>
    <xdr:to>
      <xdr:col>13</xdr:col>
      <xdr:colOff>99060</xdr:colOff>
      <xdr:row>45</xdr:row>
      <xdr:rowOff>123702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E2C5E96-DD36-46D3-2CAE-2E819D850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4720" y="4396740"/>
          <a:ext cx="5593080" cy="3956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4</xdr:col>
      <xdr:colOff>518700</xdr:colOff>
      <xdr:row>163</xdr:row>
      <xdr:rowOff>15796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FE9919D-4903-F00B-C896-0A4FE9999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3408640"/>
          <a:ext cx="6233700" cy="641659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105</xdr:row>
      <xdr:rowOff>171450</xdr:rowOff>
    </xdr:from>
    <xdr:to>
      <xdr:col>19</xdr:col>
      <xdr:colOff>636869</xdr:colOff>
      <xdr:row>175</xdr:row>
      <xdr:rowOff>141212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79139FB-8903-9E6D-7AF6-26DBA60A9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72325" y="20173950"/>
          <a:ext cx="10447619" cy="13304762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106</xdr:row>
      <xdr:rowOff>0</xdr:rowOff>
    </xdr:from>
    <xdr:to>
      <xdr:col>28</xdr:col>
      <xdr:colOff>218286</xdr:colOff>
      <xdr:row>150</xdr:row>
      <xdr:rowOff>170381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90581834-84C8-BB6E-9A78-327012D7F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45075" y="20193000"/>
          <a:ext cx="6314286" cy="8552381"/>
        </a:xfrm>
        <a:prstGeom prst="rect">
          <a:avLst/>
        </a:prstGeom>
      </xdr:spPr>
    </xdr:pic>
    <xdr:clientData/>
  </xdr:twoCellAnchor>
  <xdr:twoCellAnchor editAs="oneCell">
    <xdr:from>
      <xdr:col>13</xdr:col>
      <xdr:colOff>152400</xdr:colOff>
      <xdr:row>74</xdr:row>
      <xdr:rowOff>123825</xdr:rowOff>
    </xdr:from>
    <xdr:to>
      <xdr:col>26</xdr:col>
      <xdr:colOff>503543</xdr:colOff>
      <xdr:row>105</xdr:row>
      <xdr:rowOff>132611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5EFB3B9E-9D85-8D60-F31D-679782729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563475" y="14220825"/>
          <a:ext cx="10257143" cy="591428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10</xdr:row>
      <xdr:rowOff>169545</xdr:rowOff>
    </xdr:from>
    <xdr:to>
      <xdr:col>8</xdr:col>
      <xdr:colOff>280590</xdr:colOff>
      <xdr:row>32</xdr:row>
      <xdr:rowOff>9860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19F1213-9B1E-4F21-B02C-3E7DE22F0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" y="1998345"/>
          <a:ext cx="6408975" cy="3863675"/>
        </a:xfrm>
        <a:prstGeom prst="rect">
          <a:avLst/>
        </a:prstGeom>
        <a:ln w="38100">
          <a:solidFill>
            <a:srgbClr val="FF0000"/>
          </a:solidFill>
        </a:ln>
      </xdr:spPr>
    </xdr:pic>
    <xdr:clientData/>
  </xdr:twoCellAnchor>
  <xdr:twoCellAnchor editAs="oneCell">
    <xdr:from>
      <xdr:col>9</xdr:col>
      <xdr:colOff>590550</xdr:colOff>
      <xdr:row>11</xdr:row>
      <xdr:rowOff>9525</xdr:rowOff>
    </xdr:from>
    <xdr:to>
      <xdr:col>12</xdr:col>
      <xdr:colOff>556260</xdr:colOff>
      <xdr:row>38</xdr:row>
      <xdr:rowOff>9499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9F4FA82-877F-4C05-9A3A-646914F5B0CA}"/>
            </a:ext>
            <a:ext uri="{147F2762-F138-4A5C-976F-8EAC2B608ADB}">
              <a16:predDERef xmlns:a16="http://schemas.microsoft.com/office/drawing/2014/main" pred="{0D54EC52-B380-D0F4-EDDC-B84644E40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14310" y="2021205"/>
          <a:ext cx="5033010" cy="493773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57150</xdr:colOff>
      <xdr:row>0</xdr:row>
      <xdr:rowOff>57150</xdr:rowOff>
    </xdr:from>
    <xdr:to>
      <xdr:col>15</xdr:col>
      <xdr:colOff>371475</xdr:colOff>
      <xdr:row>18</xdr:row>
      <xdr:rowOff>114300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8718701-4538-FAD8-9622-EECECB4B4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28950" y="57150"/>
          <a:ext cx="6410325" cy="34861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18</xdr:row>
      <xdr:rowOff>161925</xdr:rowOff>
    </xdr:from>
    <xdr:to>
      <xdr:col>15</xdr:col>
      <xdr:colOff>152400</xdr:colOff>
      <xdr:row>33</xdr:row>
      <xdr:rowOff>133350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EEBD019-0DC4-71FE-BABB-C36C5BDCFD89}"/>
            </a:ext>
            <a:ext uri="{147F2762-F138-4A5C-976F-8EAC2B608ADB}">
              <a16:predDERef xmlns:a16="http://schemas.microsoft.com/office/drawing/2014/main" pred="{18718701-4538-FAD8-9622-EECECB4B4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19425" y="3590925"/>
          <a:ext cx="6200775" cy="28289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276225</xdr:colOff>
      <xdr:row>0</xdr:row>
      <xdr:rowOff>66675</xdr:rowOff>
    </xdr:from>
    <xdr:to>
      <xdr:col>19</xdr:col>
      <xdr:colOff>238125</xdr:colOff>
      <xdr:row>21</xdr:row>
      <xdr:rowOff>9525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4CE60C9-720C-5C49-FE92-33ED111E3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34200" y="66675"/>
          <a:ext cx="6057900" cy="39433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17</xdr:col>
      <xdr:colOff>304800</xdr:colOff>
      <xdr:row>35</xdr:row>
      <xdr:rowOff>9525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51E28408-7DC1-49D8-B40C-2148BF64808B}"/>
            </a:ext>
            <a:ext uri="{147F2762-F138-4A5C-976F-8EAC2B608ADB}">
              <a16:predDERef xmlns:a16="http://schemas.microsoft.com/office/drawing/2014/main" pred="{14CE60C9-720C-5C49-FE92-33ED111E3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7575" y="4191000"/>
          <a:ext cx="4572000" cy="2486025"/>
        </a:xfrm>
        <a:prstGeom prst="rect">
          <a:avLst/>
        </a:prstGeom>
      </xdr:spPr>
    </xdr:pic>
    <xdr:clientData/>
  </xdr:twoCellAnchor>
  <xdr:twoCellAnchor editAs="oneCell">
    <xdr:from>
      <xdr:col>19</xdr:col>
      <xdr:colOff>209550</xdr:colOff>
      <xdr:row>0</xdr:row>
      <xdr:rowOff>133350</xdr:rowOff>
    </xdr:from>
    <xdr:to>
      <xdr:col>26</xdr:col>
      <xdr:colOff>514350</xdr:colOff>
      <xdr:row>24</xdr:row>
      <xdr:rowOff>28575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4059BF04-92B3-584E-C648-DBF6C4B73389}"/>
            </a:ext>
            <a:ext uri="{147F2762-F138-4A5C-976F-8EAC2B608ADB}">
              <a16:predDERef xmlns:a16="http://schemas.microsoft.com/office/drawing/2014/main" pred="{51E28408-7DC1-49D8-B40C-2148BF648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63525" y="133350"/>
          <a:ext cx="4572000" cy="446722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24</xdr:row>
      <xdr:rowOff>85725</xdr:rowOff>
    </xdr:from>
    <xdr:to>
      <xdr:col>5</xdr:col>
      <xdr:colOff>438150</xdr:colOff>
      <xdr:row>39</xdr:row>
      <xdr:rowOff>66675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852AA84-BC4D-56EE-F3C4-74AFD5E147A1}"/>
            </a:ext>
            <a:ext uri="{147F2762-F138-4A5C-976F-8EAC2B608ADB}">
              <a16:predDERef xmlns:a16="http://schemas.microsoft.com/office/drawing/2014/main" pred="{4059BF04-92B3-584E-C648-DBF6C4B73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" y="4657725"/>
          <a:ext cx="4572000" cy="28384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697234</xdr:colOff>
      <xdr:row>0</xdr:row>
      <xdr:rowOff>9525</xdr:rowOff>
    </xdr:from>
    <xdr:to>
      <xdr:col>32</xdr:col>
      <xdr:colOff>157957</xdr:colOff>
      <xdr:row>37</xdr:row>
      <xdr:rowOff>161025</xdr:rowOff>
    </xdr:to>
    <xdr:pic>
      <xdr:nvPicPr>
        <xdr:cNvPr id="6" name="Gráfico 5">
          <a:extLst>
            <a:ext uri="{FF2B5EF4-FFF2-40B4-BE49-F238E27FC236}">
              <a16:creationId xmlns:a16="http://schemas.microsoft.com/office/drawing/2014/main" id="{E608ADB8-FAFB-4B13-789C-7AFD24F05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479784" y="9525"/>
          <a:ext cx="6318723" cy="7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104775</xdr:rowOff>
    </xdr:from>
    <xdr:to>
      <xdr:col>7</xdr:col>
      <xdr:colOff>878760</xdr:colOff>
      <xdr:row>69</xdr:row>
      <xdr:rowOff>127970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D54EC52-B380-D0F4-EDDC-B84644E40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772275"/>
          <a:ext cx="6222285" cy="4023695"/>
        </a:xfrm>
        <a:prstGeom prst="rect">
          <a:avLst/>
        </a:prstGeom>
        <a:ln w="38100">
          <a:solidFill>
            <a:srgbClr val="FF0000"/>
          </a:solidFill>
        </a:ln>
      </xdr:spPr>
    </xdr:pic>
    <xdr:clientData/>
  </xdr:twoCellAnchor>
  <xdr:twoCellAnchor editAs="oneCell">
    <xdr:from>
      <xdr:col>0</xdr:col>
      <xdr:colOff>76200</xdr:colOff>
      <xdr:row>69</xdr:row>
      <xdr:rowOff>186690</xdr:rowOff>
    </xdr:from>
    <xdr:to>
      <xdr:col>6</xdr:col>
      <xdr:colOff>289560</xdr:colOff>
      <xdr:row>96</xdr:row>
      <xdr:rowOff>177139</xdr:rowOff>
    </xdr:to>
    <xdr:pic>
      <xdr:nvPicPr>
        <xdr:cNvPr id="9" name="Imagen 3">
          <a:extLst>
            <a:ext uri="{FF2B5EF4-FFF2-40B4-BE49-F238E27FC236}">
              <a16:creationId xmlns:a16="http://schemas.microsoft.com/office/drawing/2014/main" id="{A0BFC422-8583-21E7-7577-B4310CCD67BE}"/>
            </a:ext>
            <a:ext uri="{147F2762-F138-4A5C-976F-8EAC2B608ADB}">
              <a16:predDERef xmlns:a16="http://schemas.microsoft.com/office/drawing/2014/main" pred="{0D54EC52-B380-D0F4-EDDC-B84644E40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" y="13331190"/>
          <a:ext cx="5170170" cy="51434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7</xdr:col>
      <xdr:colOff>928294</xdr:colOff>
      <xdr:row>47</xdr:row>
      <xdr:rowOff>68966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9FE1E5F-F0C6-B7F5-6689-19589D8A3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28800"/>
          <a:ext cx="6447079" cy="44580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49</xdr:row>
      <xdr:rowOff>0</xdr:rowOff>
    </xdr:from>
    <xdr:to>
      <xdr:col>24</xdr:col>
      <xdr:colOff>149256</xdr:colOff>
      <xdr:row>65</xdr:row>
      <xdr:rowOff>45978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16A22C3-761E-D419-B087-D421658B7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13220" y="6583680"/>
          <a:ext cx="7681626" cy="297205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10</xdr:row>
      <xdr:rowOff>169545</xdr:rowOff>
    </xdr:from>
    <xdr:to>
      <xdr:col>8</xdr:col>
      <xdr:colOff>280590</xdr:colOff>
      <xdr:row>32</xdr:row>
      <xdr:rowOff>9860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566E63D-B6A3-4083-AFF3-EB94915E3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" y="1998345"/>
          <a:ext cx="6408975" cy="3863675"/>
        </a:xfrm>
        <a:prstGeom prst="rect">
          <a:avLst/>
        </a:prstGeom>
        <a:ln w="38100">
          <a:solidFill>
            <a:srgbClr val="FF0000"/>
          </a:solidFill>
        </a:ln>
      </xdr:spPr>
    </xdr:pic>
    <xdr:clientData/>
  </xdr:twoCellAnchor>
  <xdr:twoCellAnchor editAs="oneCell">
    <xdr:from>
      <xdr:col>9</xdr:col>
      <xdr:colOff>590550</xdr:colOff>
      <xdr:row>11</xdr:row>
      <xdr:rowOff>9525</xdr:rowOff>
    </xdr:from>
    <xdr:to>
      <xdr:col>12</xdr:col>
      <xdr:colOff>556260</xdr:colOff>
      <xdr:row>38</xdr:row>
      <xdr:rowOff>9499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FD2D608-BB97-4A79-975C-45E3A20E18E6}"/>
            </a:ext>
            <a:ext uri="{147F2762-F138-4A5C-976F-8EAC2B608ADB}">
              <a16:predDERef xmlns:a16="http://schemas.microsoft.com/office/drawing/2014/main" pred="{0D54EC52-B380-D0F4-EDDC-B84644E40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14310" y="2021205"/>
          <a:ext cx="5033010" cy="49377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ingemecanica.com/tutorialsemanal/tutorialn121.html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d1wqtxts1xzle7.cloudfront.net/50806075/4-38-with-cover-page-v2.pdf?Expires=1666291549&amp;Signature=fdxhqbYUlMi7~2kP-KgGUahAN07sK2ltdQe-26HHQ3F9xR0MAO5MTLfqTjuKFP7XCU~OB3JAPQ-Mum~AI~CDK452ey0I3RiJDpBxdIfRPiXp-z~GFNhkGaz2Hb1dGIoMq6dU06RfEK7tbi3eWydQwee0uz6PwLxNZ-kbVNw1agcnL9xCTC1mjZxiDdmrVlQlkL-hvE6Hqq202~9NRCXk0FC9zyW2cW20d0uZb5cKvnBeJJJUGT8HaTqPFtyKt2dXuQ782m0PmO~ed56elavDPttra2pKYjGHSJYS9u1PXPoX-WSenMJrMP5IT8Sc9oBCTIH1OZ~WQokjLEsNB6TZmA__&amp;Key-Pair-Id=APKAJLOHF5GGSLRBV4ZA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S105"/>
  <sheetViews>
    <sheetView showGridLines="0" tabSelected="1" topLeftCell="A47" workbookViewId="0">
      <selection activeCell="Q15" sqref="Q15"/>
    </sheetView>
  </sheetViews>
  <sheetFormatPr baseColWidth="10" defaultColWidth="8.85546875" defaultRowHeight="15" x14ac:dyDescent="0.25"/>
  <cols>
    <col min="7" max="7" width="37.140625" customWidth="1"/>
    <col min="8" max="8" width="11.42578125" customWidth="1"/>
    <col min="11" max="11" width="11.28515625" bestFit="1" customWidth="1"/>
    <col min="16" max="16" width="51.140625" customWidth="1"/>
    <col min="17" max="17" width="9.42578125" bestFit="1" customWidth="1"/>
  </cols>
  <sheetData>
    <row r="2" spans="1:19" x14ac:dyDescent="0.25">
      <c r="A2" t="s">
        <v>0</v>
      </c>
    </row>
    <row r="3" spans="1:19" x14ac:dyDescent="0.25">
      <c r="A3" t="s">
        <v>1</v>
      </c>
    </row>
    <row r="5" spans="1:19" x14ac:dyDescent="0.25">
      <c r="P5" s="26" t="s">
        <v>2</v>
      </c>
      <c r="Q5" s="26"/>
    </row>
    <row r="7" spans="1:19" x14ac:dyDescent="0.25">
      <c r="P7" t="s">
        <v>3</v>
      </c>
      <c r="Q7" s="1">
        <f>Q8*Q9/(Q10*1000*2*PI())</f>
        <v>12.242687930145797</v>
      </c>
      <c r="S7">
        <f>Q7*2</f>
        <v>24.485375860291594</v>
      </c>
    </row>
    <row r="8" spans="1:19" x14ac:dyDescent="0.25">
      <c r="P8" t="s">
        <v>4</v>
      </c>
      <c r="Q8">
        <v>5000</v>
      </c>
    </row>
    <row r="9" spans="1:19" x14ac:dyDescent="0.25">
      <c r="P9" t="s">
        <v>5</v>
      </c>
      <c r="Q9">
        <v>4</v>
      </c>
    </row>
    <row r="10" spans="1:19" x14ac:dyDescent="0.25">
      <c r="P10" t="s">
        <v>6</v>
      </c>
      <c r="Q10">
        <v>0.26</v>
      </c>
    </row>
    <row r="12" spans="1:19" x14ac:dyDescent="0.25">
      <c r="P12" t="s">
        <v>7</v>
      </c>
      <c r="Q12" s="1">
        <f>Q7*100/9.81</f>
        <v>124.79804210138425</v>
      </c>
    </row>
    <row r="13" spans="1:19" x14ac:dyDescent="0.25">
      <c r="P13" t="s">
        <v>8</v>
      </c>
      <c r="Q13">
        <v>1.5</v>
      </c>
    </row>
    <row r="14" spans="1:19" x14ac:dyDescent="0.25">
      <c r="P14" t="s">
        <v>9</v>
      </c>
      <c r="Q14" s="1">
        <f>Q12*Q13</f>
        <v>187.1970631520764</v>
      </c>
    </row>
    <row r="15" spans="1:19" x14ac:dyDescent="0.25">
      <c r="P15" t="s">
        <v>10</v>
      </c>
      <c r="Q15" s="1">
        <f>Q7*Q13</f>
        <v>18.364031895218695</v>
      </c>
    </row>
    <row r="46" spans="2:8" ht="26.25" x14ac:dyDescent="0.4">
      <c r="B46" s="2" t="s">
        <v>11</v>
      </c>
    </row>
    <row r="47" spans="2:8" x14ac:dyDescent="0.25">
      <c r="G47" t="s">
        <v>12</v>
      </c>
      <c r="H47">
        <v>5000</v>
      </c>
    </row>
    <row r="48" spans="2:8" x14ac:dyDescent="0.25">
      <c r="G48" s="3" t="s">
        <v>13</v>
      </c>
      <c r="H48" s="1">
        <f>E60</f>
        <v>4.0461080717011146</v>
      </c>
    </row>
    <row r="49" spans="4:16" x14ac:dyDescent="0.25">
      <c r="G49" t="s">
        <v>14</v>
      </c>
      <c r="H49" s="1">
        <f>M59</f>
        <v>1373.1030862983562</v>
      </c>
    </row>
    <row r="50" spans="4:16" x14ac:dyDescent="0.25">
      <c r="G50" t="s">
        <v>15</v>
      </c>
      <c r="H50" s="4">
        <f>H47/(COS(D60)-H54*SIN(D60))</f>
        <v>5084.4230522860089</v>
      </c>
      <c r="K50" s="25" t="s">
        <v>16</v>
      </c>
      <c r="L50" s="25"/>
      <c r="M50" s="25"/>
      <c r="N50" s="25"/>
      <c r="O50" s="25"/>
      <c r="P50" s="25"/>
    </row>
    <row r="51" spans="4:16" x14ac:dyDescent="0.25">
      <c r="G51" s="3" t="s">
        <v>17</v>
      </c>
      <c r="H51" s="4">
        <f>H50*H54</f>
        <v>1016.8846104572018</v>
      </c>
    </row>
    <row r="52" spans="4:16" x14ac:dyDescent="0.25">
      <c r="G52" s="3" t="s">
        <v>18</v>
      </c>
      <c r="H52">
        <v>18</v>
      </c>
    </row>
    <row r="53" spans="4:16" x14ac:dyDescent="0.25">
      <c r="G53" s="3" t="s">
        <v>19</v>
      </c>
      <c r="H53">
        <v>4</v>
      </c>
    </row>
    <row r="54" spans="4:16" x14ac:dyDescent="0.25">
      <c r="G54" s="3" t="s">
        <v>20</v>
      </c>
      <c r="H54">
        <v>0.2</v>
      </c>
      <c r="J54" t="s">
        <v>21</v>
      </c>
    </row>
    <row r="55" spans="4:16" x14ac:dyDescent="0.25">
      <c r="G55" s="3" t="s">
        <v>22</v>
      </c>
    </row>
    <row r="56" spans="4:16" x14ac:dyDescent="0.25">
      <c r="G56" t="s">
        <v>23</v>
      </c>
      <c r="I56" t="s">
        <v>24</v>
      </c>
    </row>
    <row r="59" spans="4:16" x14ac:dyDescent="0.25">
      <c r="K59" s="1">
        <f>H47*(H54*COS(D60)+SIN(D60))</f>
        <v>1350.3037337549979</v>
      </c>
      <c r="M59" s="1">
        <f>K59/K60</f>
        <v>1373.1030862983562</v>
      </c>
      <c r="N59" t="s">
        <v>25</v>
      </c>
      <c r="O59">
        <f>M59/9.81</f>
        <v>139.96973356762041</v>
      </c>
      <c r="P59" t="s">
        <v>26</v>
      </c>
    </row>
    <row r="60" spans="4:16" x14ac:dyDescent="0.25">
      <c r="D60">
        <f>ATAN(H53/(H52*PI()))</f>
        <v>7.0617907742703254E-2</v>
      </c>
      <c r="E60" s="1">
        <f>D60*(180/PI())</f>
        <v>4.0461080717011146</v>
      </c>
      <c r="K60" s="1">
        <f>COS(D60)-(H54*SIN(D60))</f>
        <v>0.98339574590512258</v>
      </c>
    </row>
    <row r="63" spans="4:16" x14ac:dyDescent="0.25">
      <c r="J63">
        <f>M59*H52/2</f>
        <v>12357.927776685206</v>
      </c>
      <c r="K63" t="s">
        <v>27</v>
      </c>
      <c r="M63" s="1">
        <f>J63/1000</f>
        <v>12.357927776685207</v>
      </c>
      <c r="N63" t="s">
        <v>28</v>
      </c>
    </row>
    <row r="65" spans="9:16" x14ac:dyDescent="0.25">
      <c r="L65" s="5" t="s">
        <v>29</v>
      </c>
      <c r="M65" s="1">
        <f>M63*Q13</f>
        <v>18.536891665027809</v>
      </c>
      <c r="N65" t="s">
        <v>28</v>
      </c>
      <c r="O65" s="1">
        <f>M65/9.81*100</f>
        <v>188.95914031628755</v>
      </c>
      <c r="P65" t="s">
        <v>30</v>
      </c>
    </row>
    <row r="67" spans="9:16" x14ac:dyDescent="0.25">
      <c r="O67" s="5" t="s">
        <v>31</v>
      </c>
      <c r="P67" s="6">
        <f>O65/8</f>
        <v>23.619892539535943</v>
      </c>
    </row>
    <row r="68" spans="9:16" x14ac:dyDescent="0.25">
      <c r="M68" t="s">
        <v>32</v>
      </c>
    </row>
    <row r="79" spans="9:16" x14ac:dyDescent="0.25">
      <c r="I79" s="24" t="s">
        <v>33</v>
      </c>
    </row>
    <row r="105" spans="16:16" x14ac:dyDescent="0.25">
      <c r="P105" t="s">
        <v>34</v>
      </c>
    </row>
  </sheetData>
  <mergeCells count="1">
    <mergeCell ref="P5:Q5"/>
  </mergeCells>
  <pageMargins left="0.7" right="0.7" top="0.75" bottom="0.75" header="0.3" footer="0.3"/>
  <pageSetup paperSize="9" orientation="portrait" horizontalDpi="360" verticalDpi="36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47A7F-33DE-40D7-B007-741BBF3EB5A4}">
  <dimension ref="A3:U160"/>
  <sheetViews>
    <sheetView topLeftCell="M82" workbookViewId="0">
      <selection activeCell="C3" sqref="C3"/>
    </sheetView>
  </sheetViews>
  <sheetFormatPr baseColWidth="10" defaultColWidth="11.42578125" defaultRowHeight="15" x14ac:dyDescent="0.25"/>
  <cols>
    <col min="2" max="2" width="49" bestFit="1" customWidth="1"/>
  </cols>
  <sheetData>
    <row r="3" spans="2:3" x14ac:dyDescent="0.25">
      <c r="B3" t="s">
        <v>9</v>
      </c>
      <c r="C3" s="1">
        <f>'Tornillo TR20x4'!Q14</f>
        <v>187.1970631520764</v>
      </c>
    </row>
    <row r="4" spans="2:3" x14ac:dyDescent="0.25">
      <c r="B4" t="s">
        <v>35</v>
      </c>
      <c r="C4">
        <v>191</v>
      </c>
    </row>
    <row r="5" spans="2:3" x14ac:dyDescent="0.25">
      <c r="B5" t="s">
        <v>36</v>
      </c>
      <c r="C5" s="1">
        <f>C3/C4*10</f>
        <v>9.8008933587474552</v>
      </c>
    </row>
    <row r="6" spans="2:3" x14ac:dyDescent="0.25">
      <c r="B6" t="s">
        <v>37</v>
      </c>
      <c r="C6" s="1"/>
    </row>
    <row r="128" spans="1:1" x14ac:dyDescent="0.25">
      <c r="A128" t="s">
        <v>38</v>
      </c>
    </row>
    <row r="156" spans="21:21" x14ac:dyDescent="0.25">
      <c r="U156" s="22" t="s">
        <v>39</v>
      </c>
    </row>
    <row r="157" spans="21:21" x14ac:dyDescent="0.25">
      <c r="U157" s="22" t="s">
        <v>40</v>
      </c>
    </row>
    <row r="159" spans="21:21" x14ac:dyDescent="0.25">
      <c r="U159" s="22" t="s">
        <v>41</v>
      </c>
    </row>
    <row r="160" spans="21:21" x14ac:dyDescent="0.25">
      <c r="U160" s="22" t="s">
        <v>42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24F53A-DDB9-4893-9A45-42940EFF4BDF}">
  <dimension ref="A1:V14"/>
  <sheetViews>
    <sheetView showGridLines="0" topLeftCell="I1" workbookViewId="0">
      <selection activeCell="Q2" sqref="Q2"/>
    </sheetView>
  </sheetViews>
  <sheetFormatPr baseColWidth="10" defaultColWidth="11.42578125" defaultRowHeight="15" x14ac:dyDescent="0.25"/>
  <cols>
    <col min="1" max="1" width="24.7109375" customWidth="1"/>
    <col min="2" max="2" width="7.28515625" customWidth="1"/>
    <col min="3" max="3" width="7.85546875" bestFit="1" customWidth="1"/>
    <col min="4" max="4" width="10" bestFit="1" customWidth="1"/>
    <col min="5" max="5" width="10.140625" bestFit="1" customWidth="1"/>
    <col min="6" max="8" width="10.140625" customWidth="1"/>
    <col min="9" max="9" width="15" bestFit="1" customWidth="1"/>
    <col min="10" max="10" width="24.85546875" bestFit="1" customWidth="1"/>
    <col min="11" max="11" width="25.7109375" bestFit="1" customWidth="1"/>
    <col min="12" max="12" width="23.28515625" bestFit="1" customWidth="1"/>
    <col min="13" max="14" width="16.85546875" bestFit="1" customWidth="1"/>
    <col min="15" max="15" width="21.7109375" bestFit="1" customWidth="1"/>
    <col min="16" max="16" width="18.28515625" bestFit="1" customWidth="1"/>
    <col min="17" max="17" width="22.7109375" bestFit="1" customWidth="1"/>
    <col min="18" max="18" width="20" bestFit="1" customWidth="1"/>
    <col min="21" max="21" width="7.42578125" bestFit="1" customWidth="1"/>
  </cols>
  <sheetData>
    <row r="1" spans="1:22" x14ac:dyDescent="0.25">
      <c r="B1" t="s">
        <v>67</v>
      </c>
      <c r="C1" t="s">
        <v>68</v>
      </c>
      <c r="D1" t="s">
        <v>69</v>
      </c>
      <c r="E1" t="s">
        <v>70</v>
      </c>
      <c r="F1" t="s">
        <v>30</v>
      </c>
      <c r="G1" t="s">
        <v>71</v>
      </c>
      <c r="H1" t="s">
        <v>94</v>
      </c>
      <c r="I1" t="s">
        <v>72</v>
      </c>
      <c r="J1" t="s">
        <v>73</v>
      </c>
      <c r="K1" t="s">
        <v>74</v>
      </c>
      <c r="L1" t="s">
        <v>75</v>
      </c>
      <c r="M1" t="s">
        <v>95</v>
      </c>
      <c r="N1" t="s">
        <v>76</v>
      </c>
      <c r="O1" t="s">
        <v>96</v>
      </c>
      <c r="P1" t="s">
        <v>77</v>
      </c>
      <c r="Q1" t="s">
        <v>97</v>
      </c>
      <c r="R1" t="s">
        <v>78</v>
      </c>
      <c r="S1" t="s">
        <v>79</v>
      </c>
    </row>
    <row r="2" spans="1:22" x14ac:dyDescent="0.25">
      <c r="A2" s="17" t="s">
        <v>80</v>
      </c>
      <c r="B2" s="17"/>
      <c r="C2">
        <v>0</v>
      </c>
      <c r="D2">
        <v>18</v>
      </c>
      <c r="E2" s="1">
        <f>'Esfuerzos en dientes de polea'!I2</f>
        <v>12.357927776685207</v>
      </c>
      <c r="F2" s="1">
        <f>E2*100/9.81</f>
        <v>125.97276021085838</v>
      </c>
      <c r="G2" s="1">
        <f>F2/((D2/10)/2)</f>
        <v>139.96973356762041</v>
      </c>
      <c r="H2" s="1">
        <f>(E2/((D2/1000)/2))</f>
        <v>1373.1030862983564</v>
      </c>
      <c r="I2" s="1"/>
      <c r="J2" s="1">
        <f>2.5*10/100</f>
        <v>0.25</v>
      </c>
      <c r="K2" s="1">
        <v>10</v>
      </c>
      <c r="L2" s="1">
        <f>K2*9.81/100</f>
        <v>0.98100000000000009</v>
      </c>
      <c r="M2" s="1">
        <v>0.25</v>
      </c>
      <c r="N2" s="1">
        <f>5/4</f>
        <v>1.25</v>
      </c>
      <c r="O2" s="4">
        <f>(N2*E2*2*PI())/60</f>
        <v>1.6176489632011455</v>
      </c>
      <c r="P2" s="4">
        <f>50/4</f>
        <v>12.5</v>
      </c>
      <c r="Q2" s="4">
        <f>(P2*E2*2*PI())/60</f>
        <v>16.176489632011457</v>
      </c>
      <c r="R2" s="4">
        <f>200/4</f>
        <v>50</v>
      </c>
      <c r="S2">
        <v>0</v>
      </c>
    </row>
    <row r="3" spans="1:22" x14ac:dyDescent="0.25">
      <c r="A3" s="17" t="s">
        <v>105</v>
      </c>
      <c r="B3" s="17" t="s">
        <v>90</v>
      </c>
      <c r="C3">
        <v>60</v>
      </c>
      <c r="D3">
        <v>190.99</v>
      </c>
      <c r="E3" s="1">
        <f>E2</f>
        <v>12.357927776685207</v>
      </c>
      <c r="F3" s="1">
        <f t="shared" ref="F3:F8" si="0">E3*100/9.81</f>
        <v>125.97276021085838</v>
      </c>
      <c r="G3" s="1">
        <f t="shared" ref="G3:G8" si="1">F3/((D3/10)/2)</f>
        <v>13.191555600906684</v>
      </c>
      <c r="H3" s="1">
        <f t="shared" ref="H3:H8" si="2">(E3/((D3/1000)/2))</f>
        <v>129.40916044489455</v>
      </c>
      <c r="I3" s="1">
        <f>(G3*'Esfuerzos en dientes de polea'!C10/100)/C3*11</f>
        <v>0.23055988631790406</v>
      </c>
      <c r="J3" s="1">
        <f>J2</f>
        <v>0.25</v>
      </c>
      <c r="K3" s="1">
        <f>I3/J3</f>
        <v>0.92223954527161622</v>
      </c>
      <c r="L3" s="1">
        <f>K3*9.81/100</f>
        <v>9.0471699391145549E-2</v>
      </c>
      <c r="M3" s="1">
        <f>M2</f>
        <v>0.25</v>
      </c>
      <c r="N3" s="1">
        <f>N2</f>
        <v>1.25</v>
      </c>
      <c r="O3" s="4">
        <f t="shared" ref="O3:O8" si="3">(N3*E3*2*PI())/60</f>
        <v>1.6176489632011455</v>
      </c>
      <c r="P3" s="4">
        <f>P2</f>
        <v>12.5</v>
      </c>
      <c r="Q3" s="4">
        <f t="shared" ref="Q3:Q8" si="4">(P3*E3*2*PI())/60</f>
        <v>16.176489632011457</v>
      </c>
      <c r="R3" s="4">
        <f>R2</f>
        <v>50</v>
      </c>
      <c r="S3">
        <v>0</v>
      </c>
    </row>
    <row r="4" spans="1:22" x14ac:dyDescent="0.25">
      <c r="A4" s="18" t="s">
        <v>104</v>
      </c>
      <c r="B4" s="18" t="s">
        <v>90</v>
      </c>
      <c r="C4">
        <v>18</v>
      </c>
      <c r="D4">
        <v>44.56</v>
      </c>
      <c r="E4" s="1">
        <f>E3/C3*C4</f>
        <v>3.7073783330055621</v>
      </c>
      <c r="F4" s="1">
        <f t="shared" si="0"/>
        <v>37.791828063257512</v>
      </c>
      <c r="G4" s="1">
        <f t="shared" si="1"/>
        <v>16.96222085424484</v>
      </c>
      <c r="H4" s="1">
        <f t="shared" si="2"/>
        <v>166.39938658014191</v>
      </c>
      <c r="I4" s="1">
        <f>(G4*'Esfuerzos en dientes de polea'!C10/100)/C4*11</f>
        <v>0.98820988976338597</v>
      </c>
      <c r="J4" s="1">
        <f>J3</f>
        <v>0.25</v>
      </c>
      <c r="K4" s="1">
        <f t="shared" ref="K4:K5" si="5">I4/J4</f>
        <v>3.9528395590535439</v>
      </c>
      <c r="L4" s="1">
        <f t="shared" ref="L4:L8" si="6">K4*9.81/100</f>
        <v>0.38777356074315267</v>
      </c>
      <c r="M4" s="1">
        <f>M3*C3/C4</f>
        <v>0.83333333333333337</v>
      </c>
      <c r="N4" s="1">
        <f>N3*C3/C4</f>
        <v>4.166666666666667</v>
      </c>
      <c r="O4" s="4">
        <f t="shared" si="3"/>
        <v>1.6176489632011455</v>
      </c>
      <c r="P4" s="4">
        <f>P3*C3/C4</f>
        <v>41.666666666666664</v>
      </c>
      <c r="Q4" s="4">
        <f t="shared" si="4"/>
        <v>16.176489632011453</v>
      </c>
      <c r="R4" s="4">
        <f>R3*C3/C4</f>
        <v>166.66666666666666</v>
      </c>
      <c r="S4" s="1">
        <f>C3/C4</f>
        <v>3.3333333333333335</v>
      </c>
      <c r="T4" s="1"/>
      <c r="U4" t="s">
        <v>98</v>
      </c>
      <c r="V4" s="15">
        <f>S7*S6</f>
        <v>8.1632653061224492</v>
      </c>
    </row>
    <row r="5" spans="1:22" x14ac:dyDescent="0.25">
      <c r="A5" s="18" t="s">
        <v>103</v>
      </c>
      <c r="B5" s="18" t="s">
        <v>92</v>
      </c>
      <c r="C5">
        <v>40</v>
      </c>
      <c r="D5">
        <v>63.66</v>
      </c>
      <c r="E5" s="21">
        <f>E4*2</f>
        <v>7.4147566660111242</v>
      </c>
      <c r="F5" s="1">
        <f>E5*100/9.81</f>
        <v>75.583656126515024</v>
      </c>
      <c r="G5" s="1">
        <f t="shared" si="1"/>
        <v>23.746043395072267</v>
      </c>
      <c r="H5" s="1">
        <f t="shared" si="2"/>
        <v>232.94868570565896</v>
      </c>
      <c r="I5" s="1">
        <f>(G5*'Esfuerzos en dientes de polea'!C10/100)/C5*11</f>
        <v>0.62254428870673639</v>
      </c>
      <c r="J5" s="1">
        <f>1.2*10/100</f>
        <v>0.12</v>
      </c>
      <c r="K5" s="1">
        <f t="shared" si="5"/>
        <v>5.1878690725561372</v>
      </c>
      <c r="L5" s="1">
        <f t="shared" si="6"/>
        <v>0.50892995601775715</v>
      </c>
      <c r="M5" s="1">
        <f>M4</f>
        <v>0.83333333333333337</v>
      </c>
      <c r="N5" s="1">
        <f>N4</f>
        <v>4.166666666666667</v>
      </c>
      <c r="O5" s="4">
        <f t="shared" si="3"/>
        <v>3.235297926402291</v>
      </c>
      <c r="P5" s="4">
        <f>P4</f>
        <v>41.666666666666664</v>
      </c>
      <c r="Q5" s="4">
        <f t="shared" si="4"/>
        <v>32.352979264022906</v>
      </c>
      <c r="R5" s="4">
        <f>R4</f>
        <v>166.66666666666666</v>
      </c>
      <c r="S5" s="1">
        <f>C3/C4</f>
        <v>3.3333333333333335</v>
      </c>
      <c r="T5" s="1"/>
      <c r="V5" s="23"/>
    </row>
    <row r="6" spans="1:22" x14ac:dyDescent="0.25">
      <c r="A6" s="19" t="s">
        <v>101</v>
      </c>
      <c r="B6" s="19" t="s">
        <v>92</v>
      </c>
      <c r="C6">
        <v>14</v>
      </c>
      <c r="D6">
        <v>19.100000000000001</v>
      </c>
      <c r="E6" s="1">
        <f>E5*C6/C5</f>
        <v>2.5951648331038935</v>
      </c>
      <c r="F6" s="1">
        <f t="shared" si="0"/>
        <v>26.454279644280255</v>
      </c>
      <c r="G6" s="1">
        <f t="shared" si="1"/>
        <v>27.700816381445293</v>
      </c>
      <c r="H6" s="1">
        <f t="shared" si="2"/>
        <v>271.74500870197835</v>
      </c>
      <c r="I6" s="1">
        <f>(G6*'Esfuerzos en dientes de polea'!C10/100)/C6*11</f>
        <v>2.0749303360770073</v>
      </c>
      <c r="J6" s="1">
        <f>J5</f>
        <v>0.12</v>
      </c>
      <c r="K6" s="1">
        <f>I6/J6</f>
        <v>17.29108613397506</v>
      </c>
      <c r="L6" s="1">
        <f>K6*9.81/100</f>
        <v>1.6962555497429535</v>
      </c>
      <c r="M6" s="1">
        <f>M5*C5/C6</f>
        <v>2.3809523809523809</v>
      </c>
      <c r="N6" s="1">
        <f>N5*C5/C6</f>
        <v>11.904761904761907</v>
      </c>
      <c r="O6" s="4">
        <f t="shared" si="3"/>
        <v>3.2352979264022914</v>
      </c>
      <c r="P6" s="4">
        <f>P4*C5/C6</f>
        <v>119.04761904761904</v>
      </c>
      <c r="Q6" s="4">
        <f t="shared" si="4"/>
        <v>32.352979264022906</v>
      </c>
      <c r="R6" s="4">
        <f>R4*C5/C6</f>
        <v>476.19047619047615</v>
      </c>
      <c r="S6" s="1">
        <f>C5/C6</f>
        <v>2.8571428571428572</v>
      </c>
      <c r="T6" s="1"/>
      <c r="V6" s="23"/>
    </row>
    <row r="7" spans="1:22" x14ac:dyDescent="0.25">
      <c r="A7" s="19" t="s">
        <v>100</v>
      </c>
      <c r="B7" s="19" t="s">
        <v>92</v>
      </c>
      <c r="C7">
        <v>40</v>
      </c>
      <c r="D7">
        <v>63.66</v>
      </c>
      <c r="E7" s="1">
        <f>E6</f>
        <v>2.5951648331038935</v>
      </c>
      <c r="F7" s="1">
        <f t="shared" si="0"/>
        <v>26.454279644280255</v>
      </c>
      <c r="G7" s="1">
        <f t="shared" si="1"/>
        <v>8.3111151882752932</v>
      </c>
      <c r="H7" s="1">
        <f t="shared" si="2"/>
        <v>81.532039996980643</v>
      </c>
      <c r="I7" s="1">
        <f>(G7*'Esfuerzos en dientes de polea'!C10/100)/C7*11</f>
        <v>0.21789050104735777</v>
      </c>
      <c r="J7" s="1">
        <f>J6</f>
        <v>0.12</v>
      </c>
      <c r="K7" s="1">
        <f t="shared" ref="K7:K8" si="7">I7/J7</f>
        <v>1.8157541753946482</v>
      </c>
      <c r="L7" s="1">
        <f t="shared" si="6"/>
        <v>0.178125484606215</v>
      </c>
      <c r="M7" s="1">
        <f>M6</f>
        <v>2.3809523809523809</v>
      </c>
      <c r="N7" s="1">
        <f>N6</f>
        <v>11.904761904761907</v>
      </c>
      <c r="O7" s="4">
        <f t="shared" si="3"/>
        <v>3.2352979264022914</v>
      </c>
      <c r="P7" s="4">
        <f>P6</f>
        <v>119.04761904761904</v>
      </c>
      <c r="Q7" s="4">
        <f t="shared" si="4"/>
        <v>32.352979264022906</v>
      </c>
      <c r="R7" s="4">
        <f>R6</f>
        <v>476.19047619047615</v>
      </c>
      <c r="S7" s="1">
        <f>S6</f>
        <v>2.8571428571428572</v>
      </c>
      <c r="T7" s="1"/>
      <c r="V7" s="23"/>
    </row>
    <row r="8" spans="1:22" x14ac:dyDescent="0.25">
      <c r="A8" s="20" t="s">
        <v>102</v>
      </c>
      <c r="B8" s="20" t="s">
        <v>92</v>
      </c>
      <c r="C8">
        <v>14</v>
      </c>
      <c r="D8">
        <v>19.100000000000001</v>
      </c>
      <c r="E8" s="1">
        <f>E7*C8/C7</f>
        <v>0.90830769158636271</v>
      </c>
      <c r="F8" s="1">
        <f t="shared" si="0"/>
        <v>9.2589978754980908</v>
      </c>
      <c r="G8" s="1">
        <f t="shared" si="1"/>
        <v>9.6952857335058535</v>
      </c>
      <c r="H8" s="1">
        <f t="shared" si="2"/>
        <v>95.11075304569242</v>
      </c>
      <c r="I8" s="1">
        <f>(G8*'Esfuerzos en dientes de polea'!C10/100)/C8*11</f>
        <v>0.72622561762695248</v>
      </c>
      <c r="J8" s="1">
        <f>J7</f>
        <v>0.12</v>
      </c>
      <c r="K8" s="1">
        <f t="shared" si="7"/>
        <v>6.0518801468912713</v>
      </c>
      <c r="L8" s="1">
        <f t="shared" si="6"/>
        <v>0.59368944241003374</v>
      </c>
      <c r="M8" s="1">
        <f>M7*C7/C8</f>
        <v>6.8027210884353746</v>
      </c>
      <c r="N8" s="1">
        <f>N7*C7/C8</f>
        <v>34.013605442176875</v>
      </c>
      <c r="O8" s="4">
        <f t="shared" si="3"/>
        <v>3.2352979264022914</v>
      </c>
      <c r="P8" s="4">
        <f>P7*C7/C8</f>
        <v>340.13605442176868</v>
      </c>
      <c r="Q8" s="4">
        <f t="shared" si="4"/>
        <v>32.352979264022906</v>
      </c>
      <c r="R8" s="4">
        <f>R7*C7/C8</f>
        <v>1360.5442176870747</v>
      </c>
      <c r="S8" s="1">
        <f>C7/C8</f>
        <v>2.8571428571428572</v>
      </c>
      <c r="T8" s="1"/>
      <c r="V8" s="23"/>
    </row>
    <row r="9" spans="1:22" x14ac:dyDescent="0.25">
      <c r="E9" s="1"/>
      <c r="F9" s="1"/>
      <c r="G9" s="1"/>
      <c r="H9" s="1"/>
      <c r="I9" s="1"/>
      <c r="J9" s="1"/>
      <c r="K9" s="1"/>
      <c r="L9" s="1"/>
      <c r="M9" s="1"/>
      <c r="N9" s="16"/>
      <c r="O9" s="16"/>
      <c r="P9" s="16"/>
      <c r="Q9" s="16"/>
      <c r="R9" s="16"/>
      <c r="S9" s="1"/>
      <c r="T9" s="1"/>
      <c r="U9" s="5" t="s">
        <v>99</v>
      </c>
      <c r="V9" s="15">
        <f>S4*S6*S7</f>
        <v>27.210884353741498</v>
      </c>
    </row>
    <row r="10" spans="1:22" x14ac:dyDescent="0.25">
      <c r="E10" s="1"/>
      <c r="F10" s="1"/>
      <c r="G10" s="1"/>
      <c r="H10" s="1"/>
      <c r="I10" s="1"/>
      <c r="J10" s="1"/>
      <c r="K10" s="1"/>
      <c r="L10" s="1"/>
      <c r="M10" s="1"/>
      <c r="N10" s="16"/>
      <c r="O10" s="16"/>
      <c r="P10" s="16"/>
      <c r="Q10" s="16"/>
      <c r="R10" s="16"/>
      <c r="S10" s="1"/>
      <c r="T10" s="1"/>
    </row>
    <row r="11" spans="1:22" x14ac:dyDescent="0.25">
      <c r="E11" s="1"/>
      <c r="F11" s="1"/>
      <c r="G11" s="1"/>
      <c r="H11" s="1"/>
      <c r="I11" s="1"/>
      <c r="J11" s="1"/>
      <c r="K11" s="1"/>
      <c r="L11" s="1"/>
      <c r="M11" s="1"/>
      <c r="N11" s="16"/>
      <c r="O11" s="16"/>
      <c r="P11" s="16"/>
      <c r="Q11" s="16"/>
      <c r="R11" s="16"/>
      <c r="S11" s="1"/>
      <c r="T11" s="1"/>
    </row>
    <row r="12" spans="1:22" x14ac:dyDescent="0.25">
      <c r="E12" s="1"/>
      <c r="F12" s="1"/>
      <c r="G12" s="1"/>
      <c r="H12" s="1"/>
      <c r="I12" s="1"/>
      <c r="J12" s="1"/>
      <c r="K12" s="1"/>
      <c r="L12" s="1"/>
      <c r="M12" s="1"/>
      <c r="N12" s="16"/>
      <c r="O12" s="16"/>
      <c r="P12" s="16"/>
      <c r="Q12" s="16"/>
      <c r="R12" s="16"/>
      <c r="S12" s="1"/>
      <c r="T12" s="1"/>
    </row>
    <row r="13" spans="1:22" x14ac:dyDescent="0.25">
      <c r="N13" s="1"/>
      <c r="O13" s="1"/>
    </row>
    <row r="14" spans="1:22" x14ac:dyDescent="0.25">
      <c r="N14" s="1"/>
      <c r="O14" s="1"/>
      <c r="R14" s="5"/>
      <c r="S14" s="15"/>
      <c r="T14" s="15"/>
    </row>
  </sheetData>
  <pageMargins left="0.7" right="0.7" top="0.75" bottom="0.75" header="0.3" footer="0.3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742F11-9037-49DF-8CE4-B8BBA587B0D7}">
  <dimension ref="A2:Q23"/>
  <sheetViews>
    <sheetView workbookViewId="0">
      <selection activeCell="D28" sqref="D28"/>
    </sheetView>
  </sheetViews>
  <sheetFormatPr baseColWidth="10" defaultColWidth="9.140625" defaultRowHeight="15" x14ac:dyDescent="0.25"/>
  <cols>
    <col min="3" max="3" width="3.5703125" bestFit="1" customWidth="1"/>
    <col min="4" max="4" width="13.5703125" customWidth="1"/>
  </cols>
  <sheetData>
    <row r="2" spans="1:17" x14ac:dyDescent="0.25">
      <c r="A2" t="s">
        <v>43</v>
      </c>
      <c r="B2">
        <f>(((B3+1)*B4)/2)+B4</f>
        <v>143.25</v>
      </c>
      <c r="C2" t="s">
        <v>44</v>
      </c>
      <c r="D2" t="s">
        <v>45</v>
      </c>
      <c r="E2">
        <v>160</v>
      </c>
      <c r="Q2" s="7" t="s">
        <v>46</v>
      </c>
    </row>
    <row r="3" spans="1:17" x14ac:dyDescent="0.25">
      <c r="A3" t="s">
        <v>47</v>
      </c>
      <c r="B3">
        <v>3</v>
      </c>
    </row>
    <row r="4" spans="1:17" x14ac:dyDescent="0.25">
      <c r="A4" t="s">
        <v>48</v>
      </c>
      <c r="B4">
        <v>47.75</v>
      </c>
    </row>
    <row r="5" spans="1:17" x14ac:dyDescent="0.25">
      <c r="A5" t="s">
        <v>49</v>
      </c>
      <c r="B5">
        <f>'Poleas y Correas'!C4</f>
        <v>191</v>
      </c>
    </row>
    <row r="21" spans="1:2" x14ac:dyDescent="0.25">
      <c r="A21" t="s">
        <v>50</v>
      </c>
      <c r="B21">
        <f>(2*E2)+((PI()/2)*(B4+B5))+(((B5-B4)^2)/(4*E2))</f>
        <v>727.09100192853157</v>
      </c>
    </row>
    <row r="22" spans="1:2" x14ac:dyDescent="0.25">
      <c r="A22" t="s">
        <v>51</v>
      </c>
    </row>
    <row r="23" spans="1:2" x14ac:dyDescent="0.25">
      <c r="A23" s="14" t="s">
        <v>52</v>
      </c>
    </row>
  </sheetData>
  <hyperlinks>
    <hyperlink ref="Q2" r:id="rId1" xr:uid="{45BEED5F-C17E-4B91-BC2E-E60A964C1FF5}"/>
  </hyperlink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C5E962-BC35-4D33-AA48-D18F5C12DDC7}">
  <dimension ref="A1:S29"/>
  <sheetViews>
    <sheetView showGridLines="0" workbookViewId="0">
      <selection activeCell="I2" sqref="I2"/>
    </sheetView>
  </sheetViews>
  <sheetFormatPr baseColWidth="10" defaultColWidth="9.140625" defaultRowHeight="15" x14ac:dyDescent="0.25"/>
  <cols>
    <col min="2" max="2" width="12.42578125" bestFit="1" customWidth="1"/>
    <col min="3" max="3" width="14" bestFit="1" customWidth="1"/>
    <col min="4" max="4" width="18.5703125" bestFit="1" customWidth="1"/>
  </cols>
  <sheetData>
    <row r="1" spans="1:9" x14ac:dyDescent="0.25">
      <c r="A1" s="9" t="s">
        <v>53</v>
      </c>
      <c r="B1" s="9" t="s">
        <v>54</v>
      </c>
      <c r="C1" s="11" t="s">
        <v>55</v>
      </c>
      <c r="D1" s="9" t="s">
        <v>56</v>
      </c>
      <c r="F1" t="s">
        <v>57</v>
      </c>
      <c r="I1" s="1">
        <f>'Poleas y Correas'!C5*2</f>
        <v>19.60178671749491</v>
      </c>
    </row>
    <row r="2" spans="1:9" x14ac:dyDescent="0.25">
      <c r="A2" s="9">
        <v>1</v>
      </c>
      <c r="B2" s="9">
        <v>35</v>
      </c>
      <c r="C2" s="12">
        <f>(B2/$B$13)*100</f>
        <v>17.561465127947816</v>
      </c>
      <c r="D2" s="10">
        <f>$I$1*C2/100</f>
        <v>3.4423609388475755</v>
      </c>
      <c r="H2" t="s">
        <v>58</v>
      </c>
      <c r="I2" s="1">
        <f>'Tornillo TR20x4'!M63</f>
        <v>12.357927776685207</v>
      </c>
    </row>
    <row r="3" spans="1:9" x14ac:dyDescent="0.25">
      <c r="A3" s="9">
        <v>2</v>
      </c>
      <c r="B3" s="9">
        <v>33</v>
      </c>
      <c r="C3" s="12">
        <f t="shared" ref="C3:C12" si="0">(B3/$B$13)*100</f>
        <v>16.557952834922226</v>
      </c>
      <c r="D3" s="10">
        <f t="shared" ref="D3:D12" si="1">$I$1*C3/100</f>
        <v>3.2456545994848569</v>
      </c>
    </row>
    <row r="4" spans="1:9" x14ac:dyDescent="0.25">
      <c r="A4" s="9">
        <v>3</v>
      </c>
      <c r="B4" s="9">
        <v>24</v>
      </c>
      <c r="C4" s="12">
        <f t="shared" si="0"/>
        <v>12.042147516307073</v>
      </c>
      <c r="D4" s="10">
        <f t="shared" si="1"/>
        <v>2.3604760723526232</v>
      </c>
    </row>
    <row r="5" spans="1:9" x14ac:dyDescent="0.25">
      <c r="A5" s="9">
        <v>4</v>
      </c>
      <c r="B5" s="9">
        <v>22</v>
      </c>
      <c r="C5" s="12">
        <f t="shared" si="0"/>
        <v>11.038635223281485</v>
      </c>
      <c r="D5" s="10">
        <f t="shared" si="1"/>
        <v>2.1637697329899046</v>
      </c>
    </row>
    <row r="6" spans="1:9" x14ac:dyDescent="0.25">
      <c r="A6" s="9">
        <v>5</v>
      </c>
      <c r="B6" s="9">
        <v>12</v>
      </c>
      <c r="C6" s="12">
        <f t="shared" si="0"/>
        <v>6.0210737581535367</v>
      </c>
      <c r="D6" s="13">
        <f t="shared" si="1"/>
        <v>1.1802380361763116</v>
      </c>
    </row>
    <row r="7" spans="1:9" x14ac:dyDescent="0.25">
      <c r="A7" s="9">
        <v>6</v>
      </c>
      <c r="B7" s="9">
        <v>3</v>
      </c>
      <c r="C7" s="12">
        <f t="shared" si="0"/>
        <v>1.5052684395383842</v>
      </c>
      <c r="D7" s="10">
        <f t="shared" si="1"/>
        <v>0.29505950904407791</v>
      </c>
    </row>
    <row r="8" spans="1:9" x14ac:dyDescent="0.25">
      <c r="A8" s="9">
        <v>7</v>
      </c>
      <c r="B8" s="9">
        <v>3.8</v>
      </c>
      <c r="C8" s="12">
        <f t="shared" si="0"/>
        <v>1.90667335674862</v>
      </c>
      <c r="D8" s="10">
        <f t="shared" si="1"/>
        <v>0.37374204478916534</v>
      </c>
    </row>
    <row r="9" spans="1:9" x14ac:dyDescent="0.25">
      <c r="A9" s="9">
        <v>8</v>
      </c>
      <c r="B9" s="9">
        <v>17</v>
      </c>
      <c r="C9" s="12">
        <f t="shared" si="0"/>
        <v>8.5298544907175096</v>
      </c>
      <c r="D9" s="10">
        <f t="shared" si="1"/>
        <v>1.6720038845831078</v>
      </c>
    </row>
    <row r="10" spans="1:9" x14ac:dyDescent="0.25">
      <c r="A10" s="9">
        <v>9</v>
      </c>
      <c r="B10" s="9">
        <v>19</v>
      </c>
      <c r="C10" s="12">
        <f t="shared" si="0"/>
        <v>9.5333667837430998</v>
      </c>
      <c r="D10" s="10">
        <f t="shared" si="1"/>
        <v>1.8687102239458266</v>
      </c>
    </row>
    <row r="11" spans="1:9" x14ac:dyDescent="0.25">
      <c r="A11" s="9">
        <v>10</v>
      </c>
      <c r="B11" s="9">
        <v>19.5</v>
      </c>
      <c r="C11" s="12">
        <f t="shared" si="0"/>
        <v>9.7842448569994982</v>
      </c>
      <c r="D11" s="10">
        <f t="shared" si="1"/>
        <v>1.9178868087865064</v>
      </c>
    </row>
    <row r="12" spans="1:9" x14ac:dyDescent="0.25">
      <c r="A12" s="9">
        <v>11</v>
      </c>
      <c r="B12" s="9">
        <v>11</v>
      </c>
      <c r="C12" s="12">
        <f t="shared" si="0"/>
        <v>5.5193176116407425</v>
      </c>
      <c r="D12" s="10">
        <f t="shared" si="1"/>
        <v>1.0818848664949523</v>
      </c>
    </row>
    <row r="13" spans="1:9" x14ac:dyDescent="0.25">
      <c r="B13">
        <f>SUM(B2:B12)</f>
        <v>199.3</v>
      </c>
    </row>
    <row r="15" spans="1:9" x14ac:dyDescent="0.25">
      <c r="A15" t="s">
        <v>59</v>
      </c>
    </row>
    <row r="17" spans="1:19" x14ac:dyDescent="0.25">
      <c r="A17" t="s">
        <v>60</v>
      </c>
    </row>
    <row r="18" spans="1:19" x14ac:dyDescent="0.25">
      <c r="A18" t="s">
        <v>61</v>
      </c>
      <c r="C18" s="8"/>
    </row>
    <row r="19" spans="1:19" x14ac:dyDescent="0.25">
      <c r="C19" s="8"/>
    </row>
    <row r="20" spans="1:19" x14ac:dyDescent="0.25">
      <c r="A20" t="s">
        <v>62</v>
      </c>
    </row>
    <row r="21" spans="1:19" x14ac:dyDescent="0.25">
      <c r="A21" t="s">
        <v>63</v>
      </c>
    </row>
    <row r="22" spans="1:19" x14ac:dyDescent="0.25">
      <c r="A22" t="s">
        <v>64</v>
      </c>
    </row>
    <row r="27" spans="1:19" x14ac:dyDescent="0.25">
      <c r="S27" s="7" t="s">
        <v>65</v>
      </c>
    </row>
    <row r="29" spans="1:19" x14ac:dyDescent="0.25">
      <c r="S29" t="s">
        <v>66</v>
      </c>
    </row>
  </sheetData>
  <hyperlinks>
    <hyperlink ref="S27" r:id="rId1" display="https://d1wqtxts1xzle7.cloudfront.net/50806075/4-38-with-cover-page-v2.pdf?Expires=1666291549&amp;Signature=fdxhqbYUlMi7~2kP-KgGUahAN07sK2ltdQe-26HHQ3F9xR0MAO5MTLfqTjuKFP7XCU~OB3JAPQ-Mum~AI~CDK452ey0I3RiJDpBxdIfRPiXp-z~GFNhkGaz2Hb1dGIoMq6dU06RfEK7tbi3eWydQwee0uz6PwLxNZ-kbVNw1agcnL9xCTC1mjZxiDdmrVlQlkL-hvE6Hqq202~9NRCXk0FC9zyW2cW20d0uZb5cKvnBeJJJUGT8HaTqPFtyKt2dXuQ782m0PmO~ed56elavDPttra2pKYjGHSJYS9u1PXPoX-WSenMJrMP5IT8Sc9oBCTIH1OZ~WQokjLEsNB6TZmA__&amp;Key-Pair-Id=APKAJLOHF5GGSLRBV4ZA" xr:uid="{FC9F9DDC-5B71-4A81-A1C4-E728428B2E27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AA5D04-053A-42DF-AAE1-BCB29E518384}">
  <dimension ref="A1:R23"/>
  <sheetViews>
    <sheetView workbookViewId="0">
      <selection activeCell="G2" sqref="G2"/>
    </sheetView>
  </sheetViews>
  <sheetFormatPr baseColWidth="10" defaultColWidth="11.42578125" defaultRowHeight="15" x14ac:dyDescent="0.25"/>
  <cols>
    <col min="1" max="1" width="24.7109375" customWidth="1"/>
    <col min="2" max="2" width="7.28515625" customWidth="1"/>
    <col min="3" max="3" width="7.85546875" bestFit="1" customWidth="1"/>
    <col min="4" max="4" width="10" bestFit="1" customWidth="1"/>
    <col min="5" max="5" width="10.140625" bestFit="1" customWidth="1"/>
    <col min="6" max="7" width="10.140625" customWidth="1"/>
    <col min="8" max="8" width="15" bestFit="1" customWidth="1"/>
    <col min="9" max="9" width="24.85546875" bestFit="1" customWidth="1"/>
    <col min="10" max="10" width="25.7109375" bestFit="1" customWidth="1"/>
    <col min="11" max="11" width="23.28515625" bestFit="1" customWidth="1"/>
    <col min="12" max="12" width="16.85546875" bestFit="1" customWidth="1"/>
    <col min="13" max="13" width="18.28515625" bestFit="1" customWidth="1"/>
    <col min="14" max="14" width="20" bestFit="1" customWidth="1"/>
    <col min="16" max="16" width="6" bestFit="1" customWidth="1"/>
  </cols>
  <sheetData>
    <row r="1" spans="1:18" x14ac:dyDescent="0.25">
      <c r="B1" t="s">
        <v>67</v>
      </c>
      <c r="C1" t="s">
        <v>68</v>
      </c>
      <c r="D1" t="s">
        <v>69</v>
      </c>
      <c r="E1" t="s">
        <v>70</v>
      </c>
      <c r="F1" t="s">
        <v>30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76</v>
      </c>
      <c r="M1" t="s">
        <v>77</v>
      </c>
      <c r="N1" t="s">
        <v>78</v>
      </c>
      <c r="O1" t="s">
        <v>79</v>
      </c>
    </row>
    <row r="2" spans="1:18" x14ac:dyDescent="0.25">
      <c r="A2" s="17" t="s">
        <v>80</v>
      </c>
      <c r="B2" s="17" t="s">
        <v>81</v>
      </c>
      <c r="C2">
        <v>0</v>
      </c>
      <c r="D2">
        <v>22</v>
      </c>
      <c r="E2" s="1">
        <f>'Esfuerzos en dientes de polea'!I2</f>
        <v>12.357927776685207</v>
      </c>
      <c r="F2" s="1">
        <f>E2*100/9.81</f>
        <v>125.97276021085838</v>
      </c>
      <c r="G2" s="1">
        <f>(F2/(D2/1000))/2</f>
        <v>2863.0172775195088</v>
      </c>
      <c r="H2" s="1"/>
      <c r="I2" s="1">
        <f>2.5*10/100</f>
        <v>0.25</v>
      </c>
      <c r="J2" s="1">
        <v>10</v>
      </c>
      <c r="K2" s="1">
        <f>J2*9.81/100</f>
        <v>0.98100000000000009</v>
      </c>
      <c r="L2">
        <f>5/4</f>
        <v>1.25</v>
      </c>
      <c r="M2">
        <f>50/4</f>
        <v>12.5</v>
      </c>
      <c r="N2">
        <f>200/4</f>
        <v>50</v>
      </c>
      <c r="O2">
        <v>0</v>
      </c>
    </row>
    <row r="3" spans="1:18" x14ac:dyDescent="0.25">
      <c r="A3" s="17" t="s">
        <v>82</v>
      </c>
      <c r="B3" s="17" t="s">
        <v>81</v>
      </c>
      <c r="C3">
        <v>60</v>
      </c>
      <c r="D3">
        <v>190.99</v>
      </c>
      <c r="E3" s="1">
        <f>E2</f>
        <v>12.357927776685207</v>
      </c>
      <c r="F3" s="1">
        <f t="shared" ref="F3:F8" si="0">E3*100/9.81</f>
        <v>125.97276021085838</v>
      </c>
      <c r="G3" s="1">
        <f>(F3/(D3/10))/2</f>
        <v>3.2978889002266709</v>
      </c>
      <c r="H3" s="1">
        <f>(G3*'Esfuerzos en dientes de polea'!C2/100)/C3*11</f>
        <v>0.10617889501482422</v>
      </c>
      <c r="I3" s="1">
        <f>I2</f>
        <v>0.25</v>
      </c>
      <c r="J3" s="1">
        <f>H3/I3</f>
        <v>0.42471558005929688</v>
      </c>
      <c r="K3" s="1">
        <f>J3*9.81/100</f>
        <v>4.1664598403817026E-2</v>
      </c>
      <c r="L3">
        <f>L2</f>
        <v>1.25</v>
      </c>
      <c r="M3">
        <f>M2</f>
        <v>12.5</v>
      </c>
      <c r="N3">
        <f>N2</f>
        <v>50</v>
      </c>
      <c r="O3">
        <v>0</v>
      </c>
    </row>
    <row r="4" spans="1:18" x14ac:dyDescent="0.25">
      <c r="A4" s="18" t="s">
        <v>83</v>
      </c>
      <c r="B4" s="18" t="s">
        <v>81</v>
      </c>
      <c r="C4">
        <v>18</v>
      </c>
      <c r="D4">
        <v>44.56</v>
      </c>
      <c r="E4" s="1">
        <f>E3/C3*C4</f>
        <v>3.7073783330055621</v>
      </c>
      <c r="F4" s="1">
        <f t="shared" si="0"/>
        <v>37.791828063257512</v>
      </c>
      <c r="G4" s="1">
        <f t="shared" ref="G4:G8" si="1">(F4/(D4/10))/2</f>
        <v>4.2405552135612101</v>
      </c>
      <c r="H4" s="1">
        <f>(G4*'Esfuerzos en dientes de polea'!C2/100)/C4*11</f>
        <v>0.45509665975945418</v>
      </c>
      <c r="I4" s="1">
        <f>I3</f>
        <v>0.25</v>
      </c>
      <c r="J4" s="1">
        <f t="shared" ref="J4:J8" si="2">H4/I4</f>
        <v>1.8203866390378167</v>
      </c>
      <c r="K4" s="1">
        <f t="shared" ref="K4:K8" si="3">J4*9.81/100</f>
        <v>0.17857992928960983</v>
      </c>
      <c r="L4" s="16">
        <f>L3*C3/C4</f>
        <v>4.166666666666667</v>
      </c>
      <c r="M4" s="16">
        <f>M3*C3/C4</f>
        <v>41.666666666666664</v>
      </c>
      <c r="N4" s="16">
        <f>N3*C3/C4</f>
        <v>166.66666666666666</v>
      </c>
      <c r="O4" s="1">
        <f>C3/C4</f>
        <v>3.3333333333333335</v>
      </c>
    </row>
    <row r="5" spans="1:18" x14ac:dyDescent="0.25">
      <c r="A5" s="18" t="s">
        <v>84</v>
      </c>
      <c r="B5" s="18" t="s">
        <v>85</v>
      </c>
      <c r="C5">
        <v>40</v>
      </c>
      <c r="D5">
        <v>63.66</v>
      </c>
      <c r="E5" s="21">
        <f>E4*2</f>
        <v>7.4147566660111242</v>
      </c>
      <c r="F5" s="1">
        <f t="shared" si="0"/>
        <v>75.583656126515024</v>
      </c>
      <c r="G5" s="1">
        <f t="shared" si="1"/>
        <v>5.9365108487680667</v>
      </c>
      <c r="H5" s="1">
        <f>(G5*'Esfuerzos en dientes de polea'!C2/100)/C5*11</f>
        <v>0.2866980276938918</v>
      </c>
      <c r="I5" s="1">
        <f>1.2*10/100</f>
        <v>0.12</v>
      </c>
      <c r="J5" s="1">
        <f t="shared" si="2"/>
        <v>2.3891502307824317</v>
      </c>
      <c r="K5" s="1">
        <f t="shared" si="3"/>
        <v>0.23437563763975658</v>
      </c>
      <c r="L5" s="16">
        <f>L4</f>
        <v>4.166666666666667</v>
      </c>
      <c r="M5" s="16">
        <f>M4</f>
        <v>41.666666666666664</v>
      </c>
      <c r="N5" s="16">
        <f>N4</f>
        <v>166.66666666666666</v>
      </c>
      <c r="O5" s="1">
        <f>C3/C4</f>
        <v>3.3333333333333335</v>
      </c>
    </row>
    <row r="6" spans="1:18" x14ac:dyDescent="0.25">
      <c r="A6" s="19" t="s">
        <v>86</v>
      </c>
      <c r="B6" s="19" t="s">
        <v>85</v>
      </c>
      <c r="C6">
        <v>12</v>
      </c>
      <c r="D6">
        <v>19.100000000000001</v>
      </c>
      <c r="E6" s="1">
        <f>E5*C6/C5</f>
        <v>2.2244269998033372</v>
      </c>
      <c r="F6" s="1">
        <f t="shared" si="0"/>
        <v>22.675096837954506</v>
      </c>
      <c r="G6" s="1">
        <f t="shared" si="1"/>
        <v>5.93588922459542</v>
      </c>
      <c r="H6" s="1">
        <f>(G6*'Esfuerzos en dientes de polea'!C2/100)/C6*11</f>
        <v>0.95556002319335864</v>
      </c>
      <c r="I6" s="1">
        <f>I5</f>
        <v>0.12</v>
      </c>
      <c r="J6" s="1">
        <f>H6/I6</f>
        <v>7.9630001932779892</v>
      </c>
      <c r="K6" s="1">
        <f t="shared" si="3"/>
        <v>0.78117031896057088</v>
      </c>
      <c r="L6" s="16">
        <f>L5*C5/C6</f>
        <v>13.888888888888891</v>
      </c>
      <c r="M6" s="16">
        <f>M4*C5/C6</f>
        <v>138.88888888888889</v>
      </c>
      <c r="N6" s="16">
        <f>N4*C5/C6</f>
        <v>555.55555555555554</v>
      </c>
      <c r="O6" s="1">
        <f>C5/C6</f>
        <v>3.3333333333333335</v>
      </c>
      <c r="P6" s="1">
        <f>O8*O7</f>
        <v>11.111111111111112</v>
      </c>
    </row>
    <row r="7" spans="1:18" x14ac:dyDescent="0.25">
      <c r="A7" s="19" t="s">
        <v>87</v>
      </c>
      <c r="B7" s="19" t="s">
        <v>85</v>
      </c>
      <c r="C7">
        <v>40</v>
      </c>
      <c r="D7">
        <v>63.66</v>
      </c>
      <c r="E7" s="1">
        <f>E6</f>
        <v>2.2244269998033372</v>
      </c>
      <c r="F7" s="1">
        <f t="shared" si="0"/>
        <v>22.675096837954506</v>
      </c>
      <c r="G7" s="1">
        <f t="shared" si="1"/>
        <v>1.7809532546304199</v>
      </c>
      <c r="H7" s="1">
        <f>(G7*'Esfuerzos en dientes de polea'!C2/100)/C7*11</f>
        <v>8.6009408308167529E-2</v>
      </c>
      <c r="I7" s="1">
        <f>I6</f>
        <v>0.12</v>
      </c>
      <c r="J7" s="1">
        <f t="shared" si="2"/>
        <v>0.71674506923472947</v>
      </c>
      <c r="K7" s="1">
        <f t="shared" si="3"/>
        <v>7.0312691291926965E-2</v>
      </c>
      <c r="L7" s="16">
        <f>L6</f>
        <v>13.888888888888891</v>
      </c>
      <c r="M7" s="16">
        <f>M6</f>
        <v>138.88888888888889</v>
      </c>
      <c r="N7" s="16">
        <f>N6</f>
        <v>555.55555555555554</v>
      </c>
      <c r="O7" s="1">
        <f>O6</f>
        <v>3.3333333333333335</v>
      </c>
    </row>
    <row r="8" spans="1:18" x14ac:dyDescent="0.25">
      <c r="A8" s="20" t="s">
        <v>88</v>
      </c>
      <c r="B8" s="20" t="s">
        <v>85</v>
      </c>
      <c r="C8">
        <v>12</v>
      </c>
      <c r="D8">
        <v>19.100000000000001</v>
      </c>
      <c r="E8" s="1">
        <f>E7*C8/C7</f>
        <v>0.66732809994100117</v>
      </c>
      <c r="F8" s="1">
        <f t="shared" si="0"/>
        <v>6.8025290513863528</v>
      </c>
      <c r="G8" s="1">
        <f t="shared" si="1"/>
        <v>1.7807667673786263</v>
      </c>
      <c r="H8" s="1">
        <f>(G8*'Esfuerzos en dientes de polea'!C2/100)/C8*11</f>
        <v>0.28666800695800765</v>
      </c>
      <c r="I8" s="1">
        <f>I7</f>
        <v>0.12</v>
      </c>
      <c r="J8" s="1">
        <f t="shared" si="2"/>
        <v>2.3889000579833972</v>
      </c>
      <c r="K8" s="1">
        <f t="shared" si="3"/>
        <v>0.23435109568817128</v>
      </c>
      <c r="L8" s="16">
        <f>L7*C7/C8</f>
        <v>46.296296296296305</v>
      </c>
      <c r="M8" s="16">
        <f>M7*C7/C8</f>
        <v>462.96296296296299</v>
      </c>
      <c r="N8" s="16">
        <f>N7*C7/C8</f>
        <v>1851.851851851852</v>
      </c>
      <c r="O8" s="1">
        <f>C7/C8</f>
        <v>3.3333333333333335</v>
      </c>
      <c r="Q8" s="5" t="s">
        <v>89</v>
      </c>
      <c r="R8" s="15">
        <f>O5*O6*O8</f>
        <v>37.037037037037045</v>
      </c>
    </row>
    <row r="9" spans="1:18" x14ac:dyDescent="0.25">
      <c r="A9" s="20"/>
      <c r="B9" s="20"/>
      <c r="E9" s="1"/>
      <c r="F9" s="1"/>
      <c r="G9" s="1"/>
      <c r="H9" s="1"/>
      <c r="I9" s="1"/>
      <c r="J9" s="1"/>
      <c r="K9" s="1"/>
      <c r="L9" s="16"/>
      <c r="M9" s="16"/>
      <c r="N9" s="16"/>
      <c r="O9" s="1"/>
    </row>
    <row r="10" spans="1:18" x14ac:dyDescent="0.25">
      <c r="A10" s="17" t="s">
        <v>80</v>
      </c>
      <c r="B10" s="17" t="s">
        <v>90</v>
      </c>
      <c r="C10">
        <v>0</v>
      </c>
      <c r="D10">
        <v>22</v>
      </c>
      <c r="E10" s="1">
        <f>'Esfuerzos en dientes de polea'!I10</f>
        <v>0</v>
      </c>
      <c r="F10" s="1">
        <f>E10*100/9.81</f>
        <v>0</v>
      </c>
      <c r="G10" s="1">
        <f>(F10/(D10/10))/2</f>
        <v>0</v>
      </c>
      <c r="H10" s="1"/>
      <c r="I10" s="1">
        <f>2.5*10/100</f>
        <v>0.25</v>
      </c>
      <c r="J10" s="1">
        <v>10</v>
      </c>
      <c r="K10" s="1">
        <f>J10*9.81/100</f>
        <v>0.98100000000000009</v>
      </c>
      <c r="L10">
        <f>5/4</f>
        <v>1.25</v>
      </c>
      <c r="M10">
        <f>50/4</f>
        <v>12.5</v>
      </c>
      <c r="N10">
        <f>200/4</f>
        <v>50</v>
      </c>
      <c r="O10">
        <v>0</v>
      </c>
    </row>
    <row r="11" spans="1:18" x14ac:dyDescent="0.25">
      <c r="A11" s="17" t="s">
        <v>82</v>
      </c>
      <c r="B11" s="17" t="s">
        <v>90</v>
      </c>
      <c r="C11">
        <v>60</v>
      </c>
      <c r="D11">
        <v>190.99</v>
      </c>
      <c r="E11" s="1">
        <f>E10</f>
        <v>0</v>
      </c>
      <c r="F11" s="1">
        <f t="shared" ref="F11:F16" si="4">E11*100/9.81</f>
        <v>0</v>
      </c>
      <c r="G11" s="1">
        <f>(F11/(D11/10))/2</f>
        <v>0</v>
      </c>
      <c r="H11" s="1">
        <f>(G11*'Esfuerzos en dientes de polea'!C10/100)/C11*11</f>
        <v>0</v>
      </c>
      <c r="I11" s="1">
        <f>I10</f>
        <v>0.25</v>
      </c>
      <c r="J11" s="1">
        <f>H11/I11</f>
        <v>0</v>
      </c>
      <c r="K11" s="1">
        <f>J11*9.81/100</f>
        <v>0</v>
      </c>
      <c r="L11">
        <f>L10</f>
        <v>1.25</v>
      </c>
      <c r="M11">
        <f>M10</f>
        <v>12.5</v>
      </c>
      <c r="N11">
        <f>N10</f>
        <v>50</v>
      </c>
      <c r="O11">
        <v>0</v>
      </c>
    </row>
    <row r="12" spans="1:18" x14ac:dyDescent="0.25">
      <c r="A12" s="18" t="s">
        <v>83</v>
      </c>
      <c r="B12" s="18" t="s">
        <v>90</v>
      </c>
      <c r="C12">
        <v>18</v>
      </c>
      <c r="D12">
        <v>44.56</v>
      </c>
      <c r="E12" s="1">
        <f>E11/C11*C12</f>
        <v>0</v>
      </c>
      <c r="F12" s="1">
        <f t="shared" si="4"/>
        <v>0</v>
      </c>
      <c r="G12" s="1">
        <f t="shared" ref="G12:G16" si="5">(F12/(D12/10))/2</f>
        <v>0</v>
      </c>
      <c r="H12" s="1">
        <f>(G12*'Esfuerzos en dientes de polea'!C10/100)/C12*11</f>
        <v>0</v>
      </c>
      <c r="I12" s="1">
        <f>I11</f>
        <v>0.25</v>
      </c>
      <c r="J12" s="1">
        <f t="shared" ref="J12:J13" si="6">H12/I12</f>
        <v>0</v>
      </c>
      <c r="K12" s="1">
        <f t="shared" ref="K12:K16" si="7">J12*9.81/100</f>
        <v>0</v>
      </c>
      <c r="L12" s="16">
        <f>L11*C11/C12</f>
        <v>4.166666666666667</v>
      </c>
      <c r="M12" s="16">
        <f>M11*C11/C12</f>
        <v>41.666666666666664</v>
      </c>
      <c r="N12" s="16">
        <f>N11*C11/C12</f>
        <v>166.66666666666666</v>
      </c>
      <c r="O12" s="1">
        <f>C11/C12</f>
        <v>3.3333333333333335</v>
      </c>
      <c r="Q12" t="s">
        <v>91</v>
      </c>
      <c r="R12">
        <f>O14*O15</f>
        <v>11.111111111111112</v>
      </c>
    </row>
    <row r="13" spans="1:18" x14ac:dyDescent="0.25">
      <c r="A13" s="18" t="s">
        <v>84</v>
      </c>
      <c r="B13" s="18" t="s">
        <v>92</v>
      </c>
      <c r="C13">
        <v>40</v>
      </c>
      <c r="D13">
        <v>63.66</v>
      </c>
      <c r="E13" s="21">
        <f>E12*2</f>
        <v>0</v>
      </c>
      <c r="F13" s="1">
        <f t="shared" si="4"/>
        <v>0</v>
      </c>
      <c r="G13" s="1">
        <f t="shared" si="5"/>
        <v>0</v>
      </c>
      <c r="H13" s="1">
        <f>(G13*'Esfuerzos en dientes de polea'!C10/100)/C13*11</f>
        <v>0</v>
      </c>
      <c r="I13" s="1">
        <f>1.2*10/100</f>
        <v>0.12</v>
      </c>
      <c r="J13" s="1">
        <f t="shared" si="6"/>
        <v>0</v>
      </c>
      <c r="K13" s="1">
        <f t="shared" si="7"/>
        <v>0</v>
      </c>
      <c r="L13" s="16">
        <f>L12</f>
        <v>4.166666666666667</v>
      </c>
      <c r="M13" s="16">
        <f>M12</f>
        <v>41.666666666666664</v>
      </c>
      <c r="N13" s="16">
        <f>N12</f>
        <v>166.66666666666666</v>
      </c>
      <c r="O13" s="1">
        <f>C11/C12</f>
        <v>3.3333333333333335</v>
      </c>
    </row>
    <row r="14" spans="1:18" x14ac:dyDescent="0.25">
      <c r="A14" s="19" t="s">
        <v>86</v>
      </c>
      <c r="B14" s="19" t="s">
        <v>92</v>
      </c>
      <c r="C14">
        <v>12</v>
      </c>
      <c r="D14">
        <v>19.100000000000001</v>
      </c>
      <c r="E14" s="1">
        <f>E13*C14/C13</f>
        <v>0</v>
      </c>
      <c r="F14" s="1">
        <f t="shared" si="4"/>
        <v>0</v>
      </c>
      <c r="G14" s="1">
        <f t="shared" si="5"/>
        <v>0</v>
      </c>
      <c r="H14" s="1">
        <f>(G14*'Esfuerzos en dientes de polea'!C10/100)/C14*11</f>
        <v>0</v>
      </c>
      <c r="I14" s="1">
        <f>I13</f>
        <v>0.12</v>
      </c>
      <c r="J14" s="1">
        <f>H14/I14</f>
        <v>0</v>
      </c>
      <c r="K14" s="1">
        <f t="shared" si="7"/>
        <v>0</v>
      </c>
      <c r="L14" s="16">
        <f>L13*C13/C14</f>
        <v>13.888888888888891</v>
      </c>
      <c r="M14" s="16">
        <f>M12*C13/C14</f>
        <v>138.88888888888889</v>
      </c>
      <c r="N14" s="16">
        <f>N12*C13/C14</f>
        <v>555.55555555555554</v>
      </c>
      <c r="O14" s="1">
        <f>C13/C14</f>
        <v>3.3333333333333335</v>
      </c>
    </row>
    <row r="15" spans="1:18" x14ac:dyDescent="0.25">
      <c r="A15" s="19" t="s">
        <v>87</v>
      </c>
      <c r="B15" s="19" t="s">
        <v>92</v>
      </c>
      <c r="C15">
        <v>40</v>
      </c>
      <c r="D15">
        <v>63.66</v>
      </c>
      <c r="E15" s="1">
        <f>E14</f>
        <v>0</v>
      </c>
      <c r="F15" s="1">
        <f t="shared" si="4"/>
        <v>0</v>
      </c>
      <c r="G15" s="1">
        <f t="shared" si="5"/>
        <v>0</v>
      </c>
      <c r="H15" s="1">
        <f>(G15*'Esfuerzos en dientes de polea'!C10/100)/C15*11</f>
        <v>0</v>
      </c>
      <c r="I15" s="1">
        <f>I14</f>
        <v>0.12</v>
      </c>
      <c r="J15" s="1">
        <f t="shared" ref="J15:J16" si="8">H15/I15</f>
        <v>0</v>
      </c>
      <c r="K15" s="1">
        <f t="shared" si="7"/>
        <v>0</v>
      </c>
      <c r="L15" s="16">
        <f>L14</f>
        <v>13.888888888888891</v>
      </c>
      <c r="M15" s="16">
        <f>M14</f>
        <v>138.88888888888889</v>
      </c>
      <c r="N15" s="16">
        <f>N14</f>
        <v>555.55555555555554</v>
      </c>
      <c r="O15" s="1">
        <f>O14</f>
        <v>3.3333333333333335</v>
      </c>
    </row>
    <row r="16" spans="1:18" x14ac:dyDescent="0.25">
      <c r="A16" s="20" t="s">
        <v>88</v>
      </c>
      <c r="B16" s="20" t="s">
        <v>92</v>
      </c>
      <c r="C16">
        <v>12</v>
      </c>
      <c r="D16">
        <v>19.100000000000001</v>
      </c>
      <c r="E16" s="1">
        <f>E15*C16/C15</f>
        <v>0</v>
      </c>
      <c r="F16" s="1">
        <f t="shared" si="4"/>
        <v>0</v>
      </c>
      <c r="G16" s="1">
        <f t="shared" si="5"/>
        <v>0</v>
      </c>
      <c r="H16" s="1">
        <f>(G16*'Esfuerzos en dientes de polea'!C10/100)/C16*11</f>
        <v>0</v>
      </c>
      <c r="I16" s="1">
        <f>I15</f>
        <v>0.12</v>
      </c>
      <c r="J16" s="1">
        <f t="shared" si="8"/>
        <v>0</v>
      </c>
      <c r="K16" s="1">
        <f t="shared" si="7"/>
        <v>0</v>
      </c>
      <c r="L16" s="16">
        <f>L15*C15/C16</f>
        <v>46.296296296296305</v>
      </c>
      <c r="M16" s="16">
        <f>M15*C15/C16</f>
        <v>462.96296296296299</v>
      </c>
      <c r="N16" s="16">
        <f>N15*C15/C16</f>
        <v>1851.851851851852</v>
      </c>
      <c r="O16" s="1">
        <f>C15/C16</f>
        <v>3.3333333333333335</v>
      </c>
    </row>
    <row r="17" spans="1:17" x14ac:dyDescent="0.25">
      <c r="E17" s="1"/>
      <c r="F17" s="1"/>
      <c r="G17" s="1"/>
      <c r="H17" s="1"/>
      <c r="I17" s="1"/>
      <c r="J17" s="1"/>
      <c r="K17" s="1"/>
      <c r="L17" s="16"/>
      <c r="M17" s="16"/>
      <c r="N17" s="16"/>
      <c r="O17" s="1"/>
      <c r="Q17" s="1">
        <f>O12*O14*O15</f>
        <v>37.037037037037045</v>
      </c>
    </row>
    <row r="18" spans="1:17" x14ac:dyDescent="0.25">
      <c r="E18" s="1"/>
      <c r="F18" s="1"/>
      <c r="G18" s="1"/>
      <c r="H18" s="1"/>
      <c r="I18" s="1"/>
      <c r="J18" s="1"/>
      <c r="K18" s="1"/>
      <c r="L18" s="16"/>
      <c r="M18" s="16"/>
      <c r="N18" s="16"/>
      <c r="O18" s="1"/>
    </row>
    <row r="19" spans="1:17" x14ac:dyDescent="0.25">
      <c r="E19" s="1"/>
      <c r="F19" s="1"/>
      <c r="G19" s="1"/>
      <c r="H19" s="1"/>
      <c r="I19" s="1"/>
      <c r="J19" s="1"/>
      <c r="K19" s="1"/>
      <c r="L19" s="16"/>
      <c r="M19" s="16"/>
      <c r="N19" s="16"/>
      <c r="O19" s="1"/>
    </row>
    <row r="20" spans="1:17" x14ac:dyDescent="0.25">
      <c r="E20" s="1"/>
      <c r="F20" s="1"/>
      <c r="G20" s="1"/>
      <c r="H20" s="1"/>
      <c r="I20" s="1"/>
      <c r="J20" s="1"/>
      <c r="K20" s="1"/>
      <c r="L20" s="16"/>
      <c r="M20" s="16"/>
      <c r="N20" s="16"/>
      <c r="O20" s="1"/>
    </row>
    <row r="21" spans="1:17" x14ac:dyDescent="0.25">
      <c r="L21" s="1"/>
    </row>
    <row r="22" spans="1:17" x14ac:dyDescent="0.25">
      <c r="L22" s="1"/>
      <c r="N22" s="5"/>
      <c r="O22" s="15"/>
    </row>
    <row r="23" spans="1:17" x14ac:dyDescent="0.25">
      <c r="A23" t="s">
        <v>93</v>
      </c>
    </row>
  </sheetData>
  <pageMargins left="0.7" right="0.7" top="0.75" bottom="0.75" header="0.3" footer="0.3"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8593F2-5207-4AF0-BA62-A22FCAFC226B}">
  <dimension ref="A1:V14"/>
  <sheetViews>
    <sheetView showGridLines="0" workbookViewId="0">
      <selection activeCell="J10" sqref="J10"/>
    </sheetView>
  </sheetViews>
  <sheetFormatPr baseColWidth="10" defaultColWidth="11.42578125" defaultRowHeight="15" x14ac:dyDescent="0.25"/>
  <cols>
    <col min="1" max="1" width="24.7109375" customWidth="1"/>
    <col min="2" max="2" width="7.28515625" customWidth="1"/>
    <col min="3" max="3" width="7.85546875" bestFit="1" customWidth="1"/>
    <col min="4" max="4" width="10" bestFit="1" customWidth="1"/>
    <col min="5" max="5" width="10.140625" bestFit="1" customWidth="1"/>
    <col min="6" max="8" width="10.140625" customWidth="1"/>
    <col min="9" max="9" width="15" bestFit="1" customWidth="1"/>
    <col min="10" max="10" width="24.85546875" bestFit="1" customWidth="1"/>
    <col min="11" max="11" width="25.7109375" bestFit="1" customWidth="1"/>
    <col min="12" max="12" width="23.28515625" bestFit="1" customWidth="1"/>
    <col min="13" max="14" width="16.85546875" bestFit="1" customWidth="1"/>
    <col min="15" max="15" width="21.7109375" bestFit="1" customWidth="1"/>
    <col min="16" max="16" width="18.28515625" bestFit="1" customWidth="1"/>
    <col min="17" max="17" width="22.7109375" bestFit="1" customWidth="1"/>
    <col min="18" max="18" width="20" bestFit="1" customWidth="1"/>
    <col min="21" max="21" width="7.42578125" bestFit="1" customWidth="1"/>
  </cols>
  <sheetData>
    <row r="1" spans="1:22" x14ac:dyDescent="0.25">
      <c r="B1" t="s">
        <v>67</v>
      </c>
      <c r="C1" t="s">
        <v>68</v>
      </c>
      <c r="D1" t="s">
        <v>69</v>
      </c>
      <c r="E1" t="s">
        <v>70</v>
      </c>
      <c r="F1" t="s">
        <v>30</v>
      </c>
      <c r="G1" t="s">
        <v>71</v>
      </c>
      <c r="H1" t="s">
        <v>94</v>
      </c>
      <c r="I1" t="s">
        <v>72</v>
      </c>
      <c r="J1" t="s">
        <v>73</v>
      </c>
      <c r="K1" t="s">
        <v>74</v>
      </c>
      <c r="L1" t="s">
        <v>75</v>
      </c>
      <c r="M1" t="s">
        <v>95</v>
      </c>
      <c r="N1" t="s">
        <v>76</v>
      </c>
      <c r="O1" t="s">
        <v>96</v>
      </c>
      <c r="P1" t="s">
        <v>77</v>
      </c>
      <c r="Q1" t="s">
        <v>97</v>
      </c>
      <c r="R1" t="s">
        <v>78</v>
      </c>
      <c r="S1" t="s">
        <v>79</v>
      </c>
    </row>
    <row r="2" spans="1:22" x14ac:dyDescent="0.25">
      <c r="A2" s="17" t="s">
        <v>80</v>
      </c>
      <c r="B2" s="17" t="s">
        <v>90</v>
      </c>
      <c r="C2">
        <v>0</v>
      </c>
      <c r="D2">
        <v>18</v>
      </c>
      <c r="E2" s="1">
        <f>'Esfuerzos en dientes de polea'!I2</f>
        <v>12.357927776685207</v>
      </c>
      <c r="F2" s="1">
        <f>E2*100/9.81</f>
        <v>125.97276021085838</v>
      </c>
      <c r="G2" s="1">
        <f>F2/((D2/10)/2)</f>
        <v>139.96973356762041</v>
      </c>
      <c r="H2" s="1">
        <f>(E2/((D2/1000)/2))</f>
        <v>1373.1030862983564</v>
      </c>
      <c r="I2" s="1"/>
      <c r="J2" s="1">
        <f>2.5*10/100</f>
        <v>0.25</v>
      </c>
      <c r="K2" s="1">
        <v>10</v>
      </c>
      <c r="L2" s="1">
        <f>K2*9.81/100</f>
        <v>0.98100000000000009</v>
      </c>
      <c r="M2" s="1">
        <v>0.25</v>
      </c>
      <c r="N2" s="1">
        <f>5/4</f>
        <v>1.25</v>
      </c>
      <c r="O2" s="4">
        <f>(N2*E2*2*PI())/60</f>
        <v>1.6176489632011455</v>
      </c>
      <c r="P2" s="4">
        <f>50/4</f>
        <v>12.5</v>
      </c>
      <c r="Q2" s="4">
        <f t="shared" ref="Q2:Q8" si="0">(P2*H2*2*PI())/60</f>
        <v>1797.3877368901617</v>
      </c>
      <c r="R2" s="4">
        <f>200/4</f>
        <v>50</v>
      </c>
      <c r="S2">
        <v>0</v>
      </c>
    </row>
    <row r="3" spans="1:22" x14ac:dyDescent="0.25">
      <c r="A3" s="17" t="s">
        <v>82</v>
      </c>
      <c r="B3" s="17" t="s">
        <v>90</v>
      </c>
      <c r="C3">
        <v>60</v>
      </c>
      <c r="D3">
        <v>190.99</v>
      </c>
      <c r="E3" s="1">
        <f>E2</f>
        <v>12.357927776685207</v>
      </c>
      <c r="F3" s="1">
        <f t="shared" ref="F3:F8" si="1">E3*100/9.81</f>
        <v>125.97276021085838</v>
      </c>
      <c r="G3" s="1">
        <f t="shared" ref="G3:G8" si="2">F3/((D3/10)/2)</f>
        <v>13.191555600906684</v>
      </c>
      <c r="H3" s="1">
        <f t="shared" ref="H3:H8" si="3">(E3/((D3/1000)/2))</f>
        <v>129.40916044489455</v>
      </c>
      <c r="I3" s="1">
        <f>(G3*'Esfuerzos en dientes de polea'!C10/100)/C3*11</f>
        <v>0.23055988631790406</v>
      </c>
      <c r="J3" s="1">
        <f>J2</f>
        <v>0.25</v>
      </c>
      <c r="K3" s="1">
        <f>I3/J3</f>
        <v>0.92223954527161622</v>
      </c>
      <c r="L3" s="1">
        <f>K3*9.81/100</f>
        <v>9.0471699391145549E-2</v>
      </c>
      <c r="M3" s="1">
        <f>M2</f>
        <v>0.25</v>
      </c>
      <c r="N3" s="1">
        <f>N2</f>
        <v>1.25</v>
      </c>
      <c r="O3" s="4">
        <f t="shared" ref="O3:O8" si="4">(N3*E3*2*PI())/60</f>
        <v>1.6176489632011455</v>
      </c>
      <c r="P3" s="4">
        <f>P2</f>
        <v>12.5</v>
      </c>
      <c r="Q3" s="4">
        <f t="shared" si="0"/>
        <v>169.39619490037649</v>
      </c>
      <c r="R3" s="4">
        <f>R2</f>
        <v>50</v>
      </c>
      <c r="S3">
        <v>0</v>
      </c>
    </row>
    <row r="4" spans="1:22" x14ac:dyDescent="0.25">
      <c r="A4" s="18" t="s">
        <v>83</v>
      </c>
      <c r="B4" s="18" t="s">
        <v>90</v>
      </c>
      <c r="C4">
        <v>18</v>
      </c>
      <c r="D4">
        <v>44.56</v>
      </c>
      <c r="E4" s="1">
        <f>E3/C3*C4</f>
        <v>3.7073783330055621</v>
      </c>
      <c r="F4" s="1">
        <f t="shared" si="1"/>
        <v>37.791828063257512</v>
      </c>
      <c r="G4" s="1">
        <f t="shared" si="2"/>
        <v>16.96222085424484</v>
      </c>
      <c r="H4" s="1">
        <f t="shared" si="3"/>
        <v>166.39938658014191</v>
      </c>
      <c r="I4" s="1">
        <f>(G4*'Esfuerzos en dientes de polea'!C10/100)/C4*11</f>
        <v>0.98820988976338597</v>
      </c>
      <c r="J4" s="1">
        <f>J3</f>
        <v>0.25</v>
      </c>
      <c r="K4" s="1">
        <f t="shared" ref="K4:K5" si="5">I4/J4</f>
        <v>3.9528395590535439</v>
      </c>
      <c r="L4" s="1">
        <f t="shared" ref="L4:L8" si="6">K4*9.81/100</f>
        <v>0.38777356074315267</v>
      </c>
      <c r="M4" s="1">
        <f>M3*C3/C4</f>
        <v>0.83333333333333337</v>
      </c>
      <c r="N4" s="1">
        <f>N3*C3/C4</f>
        <v>4.166666666666667</v>
      </c>
      <c r="O4" s="4">
        <f t="shared" si="4"/>
        <v>1.6176489632011455</v>
      </c>
      <c r="P4" s="4">
        <f>P3*C3/C4</f>
        <v>41.666666666666664</v>
      </c>
      <c r="Q4" s="4">
        <f t="shared" si="0"/>
        <v>726.05429228058586</v>
      </c>
      <c r="R4" s="4">
        <f>R3*C3/C4</f>
        <v>166.66666666666666</v>
      </c>
      <c r="S4" s="1">
        <f>C3/C4</f>
        <v>3.3333333333333335</v>
      </c>
      <c r="T4" s="1"/>
      <c r="U4" t="s">
        <v>98</v>
      </c>
      <c r="V4" s="15">
        <f>S7*S6</f>
        <v>8.1632653061224492</v>
      </c>
    </row>
    <row r="5" spans="1:22" x14ac:dyDescent="0.25">
      <c r="A5" s="18" t="s">
        <v>84</v>
      </c>
      <c r="B5" s="18" t="s">
        <v>92</v>
      </c>
      <c r="C5">
        <v>40</v>
      </c>
      <c r="D5">
        <v>63.66</v>
      </c>
      <c r="E5" s="21">
        <f>E4*2</f>
        <v>7.4147566660111242</v>
      </c>
      <c r="F5" s="1">
        <f>E5*100/9.81</f>
        <v>75.583656126515024</v>
      </c>
      <c r="G5" s="1">
        <f t="shared" si="2"/>
        <v>23.746043395072267</v>
      </c>
      <c r="H5" s="1">
        <f t="shared" si="3"/>
        <v>232.94868570565896</v>
      </c>
      <c r="I5" s="1">
        <f>(G5*'Esfuerzos en dientes de polea'!C10/100)/C5*11</f>
        <v>0.62254428870673639</v>
      </c>
      <c r="J5" s="1">
        <f>1.2*10/100</f>
        <v>0.12</v>
      </c>
      <c r="K5" s="1">
        <f t="shared" si="5"/>
        <v>5.1878690725561372</v>
      </c>
      <c r="L5" s="1">
        <f t="shared" si="6"/>
        <v>0.50892995601775715</v>
      </c>
      <c r="M5" s="1">
        <f>M4</f>
        <v>0.83333333333333337</v>
      </c>
      <c r="N5" s="1">
        <f>N4</f>
        <v>4.166666666666667</v>
      </c>
      <c r="O5" s="4">
        <f t="shared" si="4"/>
        <v>3.235297926402291</v>
      </c>
      <c r="P5" s="4">
        <f>P4</f>
        <v>41.666666666666664</v>
      </c>
      <c r="Q5" s="4">
        <f t="shared" si="0"/>
        <v>1016.4303884392998</v>
      </c>
      <c r="R5" s="4">
        <f>R4</f>
        <v>166.66666666666666</v>
      </c>
      <c r="S5" s="1">
        <f>C3/C4</f>
        <v>3.3333333333333335</v>
      </c>
      <c r="T5" s="1"/>
      <c r="V5" s="23"/>
    </row>
    <row r="6" spans="1:22" x14ac:dyDescent="0.25">
      <c r="A6" s="19" t="s">
        <v>86</v>
      </c>
      <c r="B6" s="19" t="s">
        <v>92</v>
      </c>
      <c r="C6">
        <v>14</v>
      </c>
      <c r="D6">
        <v>19.100000000000001</v>
      </c>
      <c r="E6" s="1">
        <f>E5*C6/C5</f>
        <v>2.5951648331038935</v>
      </c>
      <c r="F6" s="1">
        <f t="shared" si="1"/>
        <v>26.454279644280255</v>
      </c>
      <c r="G6" s="1">
        <f t="shared" si="2"/>
        <v>27.700816381445293</v>
      </c>
      <c r="H6" s="1">
        <f t="shared" si="3"/>
        <v>271.74500870197835</v>
      </c>
      <c r="I6" s="1">
        <f>(G6*'Esfuerzos en dientes de polea'!C10/100)/C6*11</f>
        <v>2.0749303360770073</v>
      </c>
      <c r="J6" s="1">
        <f>J5</f>
        <v>0.12</v>
      </c>
      <c r="K6" s="1">
        <f>I6/J6</f>
        <v>17.29108613397506</v>
      </c>
      <c r="L6" s="1">
        <f>K6*9.81/100</f>
        <v>1.6962555497429535</v>
      </c>
      <c r="M6" s="1">
        <f>M5*C5/C6</f>
        <v>2.3809523809523809</v>
      </c>
      <c r="N6" s="1">
        <f>N5*C5/C6</f>
        <v>11.904761904761907</v>
      </c>
      <c r="O6" s="4">
        <f t="shared" si="4"/>
        <v>3.2352979264022914</v>
      </c>
      <c r="P6" s="4">
        <f>P4*C5/C6</f>
        <v>119.04761904761904</v>
      </c>
      <c r="Q6" s="4">
        <f t="shared" si="0"/>
        <v>3387.7465197929737</v>
      </c>
      <c r="R6" s="4">
        <f>R4*C5/C6</f>
        <v>476.19047619047615</v>
      </c>
      <c r="S6" s="1">
        <f>C5/C6</f>
        <v>2.8571428571428572</v>
      </c>
      <c r="T6" s="1"/>
      <c r="V6" s="23"/>
    </row>
    <row r="7" spans="1:22" x14ac:dyDescent="0.25">
      <c r="A7" s="19" t="s">
        <v>87</v>
      </c>
      <c r="B7" s="19" t="s">
        <v>92</v>
      </c>
      <c r="C7">
        <v>40</v>
      </c>
      <c r="D7">
        <v>63.66</v>
      </c>
      <c r="E7" s="1">
        <f>E6</f>
        <v>2.5951648331038935</v>
      </c>
      <c r="F7" s="1">
        <f t="shared" si="1"/>
        <v>26.454279644280255</v>
      </c>
      <c r="G7" s="1">
        <f t="shared" si="2"/>
        <v>8.3111151882752932</v>
      </c>
      <c r="H7" s="1">
        <f t="shared" si="3"/>
        <v>81.532039996980643</v>
      </c>
      <c r="I7" s="1">
        <f>(G7*'Esfuerzos en dientes de polea'!C10/100)/C7*11</f>
        <v>0.21789050104735777</v>
      </c>
      <c r="J7" s="1">
        <f>J6</f>
        <v>0.12</v>
      </c>
      <c r="K7" s="1">
        <f t="shared" ref="K7:K8" si="7">I7/J7</f>
        <v>1.8157541753946482</v>
      </c>
      <c r="L7" s="1">
        <f t="shared" si="6"/>
        <v>0.178125484606215</v>
      </c>
      <c r="M7" s="1">
        <f>M6</f>
        <v>2.3809523809523809</v>
      </c>
      <c r="N7" s="1">
        <f>N6</f>
        <v>11.904761904761907</v>
      </c>
      <c r="O7" s="4">
        <f t="shared" si="4"/>
        <v>3.2352979264022914</v>
      </c>
      <c r="P7" s="4">
        <f>P6</f>
        <v>119.04761904761904</v>
      </c>
      <c r="Q7" s="4">
        <f t="shared" si="0"/>
        <v>1016.4303884392998</v>
      </c>
      <c r="R7" s="4">
        <f>R6</f>
        <v>476.19047619047615</v>
      </c>
      <c r="S7" s="1">
        <f>S6</f>
        <v>2.8571428571428572</v>
      </c>
      <c r="T7" s="1"/>
      <c r="V7" s="23"/>
    </row>
    <row r="8" spans="1:22" x14ac:dyDescent="0.25">
      <c r="A8" s="20" t="s">
        <v>88</v>
      </c>
      <c r="B8" s="20" t="s">
        <v>92</v>
      </c>
      <c r="C8">
        <v>14</v>
      </c>
      <c r="D8">
        <v>19.100000000000001</v>
      </c>
      <c r="E8" s="1">
        <f>E7*C8/C7</f>
        <v>0.90830769158636271</v>
      </c>
      <c r="F8" s="1">
        <f t="shared" si="1"/>
        <v>9.2589978754980908</v>
      </c>
      <c r="G8" s="1">
        <f t="shared" si="2"/>
        <v>9.6952857335058535</v>
      </c>
      <c r="H8" s="1">
        <f t="shared" si="3"/>
        <v>95.11075304569242</v>
      </c>
      <c r="I8" s="1">
        <f>(G8*'Esfuerzos en dientes de polea'!C10/100)/C8*11</f>
        <v>0.72622561762695248</v>
      </c>
      <c r="J8" s="1">
        <f>J7</f>
        <v>0.12</v>
      </c>
      <c r="K8" s="1">
        <f t="shared" si="7"/>
        <v>6.0518801468912713</v>
      </c>
      <c r="L8" s="1">
        <f t="shared" si="6"/>
        <v>0.59368944241003374</v>
      </c>
      <c r="M8" s="1">
        <f>M7*C7/C8</f>
        <v>6.8027210884353746</v>
      </c>
      <c r="N8" s="1">
        <f>N7*C7/C8</f>
        <v>34.013605442176875</v>
      </c>
      <c r="O8" s="4">
        <f t="shared" si="4"/>
        <v>3.2352979264022914</v>
      </c>
      <c r="P8" s="4">
        <f>P7*C7/C8</f>
        <v>340.13605442176868</v>
      </c>
      <c r="Q8" s="4">
        <f t="shared" si="0"/>
        <v>3387.7465197929737</v>
      </c>
      <c r="R8" s="4">
        <f>R7*C7/C8</f>
        <v>1360.5442176870747</v>
      </c>
      <c r="S8" s="1">
        <f>C7/C8</f>
        <v>2.8571428571428572</v>
      </c>
      <c r="T8" s="1"/>
      <c r="V8" s="23"/>
    </row>
    <row r="9" spans="1:22" x14ac:dyDescent="0.25">
      <c r="E9" s="1"/>
      <c r="F9" s="1"/>
      <c r="G9" s="1"/>
      <c r="H9" s="1"/>
      <c r="I9" s="1"/>
      <c r="J9" s="1"/>
      <c r="K9" s="1"/>
      <c r="L9" s="1"/>
      <c r="M9" s="1"/>
      <c r="N9" s="16"/>
      <c r="O9" s="16"/>
      <c r="P9" s="16"/>
      <c r="Q9" s="16"/>
      <c r="R9" s="16"/>
      <c r="S9" s="1"/>
      <c r="T9" s="1"/>
      <c r="U9" s="5" t="s">
        <v>99</v>
      </c>
      <c r="V9" s="15">
        <f>S4*S6*S7</f>
        <v>27.210884353741498</v>
      </c>
    </row>
    <row r="10" spans="1:22" x14ac:dyDescent="0.25">
      <c r="E10" s="1"/>
      <c r="F10" s="1"/>
      <c r="G10" s="1"/>
      <c r="H10" s="1"/>
      <c r="I10" s="1"/>
      <c r="J10" s="1"/>
      <c r="K10" s="1"/>
      <c r="L10" s="1"/>
      <c r="M10" s="1"/>
      <c r="N10" s="16"/>
      <c r="O10" s="16"/>
      <c r="P10" s="16"/>
      <c r="Q10" s="16"/>
      <c r="R10" s="16"/>
      <c r="S10" s="1"/>
      <c r="T10" s="1"/>
    </row>
    <row r="11" spans="1:22" x14ac:dyDescent="0.25">
      <c r="E11" s="1"/>
      <c r="F11" s="1"/>
      <c r="G11" s="1"/>
      <c r="H11" s="1"/>
      <c r="I11" s="1"/>
      <c r="J11" s="1"/>
      <c r="K11" s="1"/>
      <c r="L11" s="1"/>
      <c r="M11" s="1"/>
      <c r="N11" s="16"/>
      <c r="O11" s="16"/>
      <c r="P11" s="16"/>
      <c r="Q11" s="16"/>
      <c r="R11" s="16"/>
      <c r="S11" s="1"/>
      <c r="T11" s="1"/>
    </row>
    <row r="12" spans="1:22" x14ac:dyDescent="0.25">
      <c r="E12" s="1"/>
      <c r="F12" s="1"/>
      <c r="G12" s="1"/>
      <c r="H12" s="1"/>
      <c r="I12" s="1"/>
      <c r="J12" s="1"/>
      <c r="K12" s="1"/>
      <c r="L12" s="1"/>
      <c r="M12" s="1"/>
      <c r="N12" s="16"/>
      <c r="O12" s="16"/>
      <c r="P12" s="16"/>
      <c r="Q12" s="16"/>
      <c r="R12" s="16"/>
      <c r="S12" s="1"/>
      <c r="T12" s="1"/>
    </row>
    <row r="13" spans="1:22" x14ac:dyDescent="0.25">
      <c r="N13" s="1"/>
      <c r="O13" s="1"/>
    </row>
    <row r="14" spans="1:22" x14ac:dyDescent="0.25">
      <c r="N14" s="1"/>
      <c r="O14" s="1"/>
      <c r="R14" s="5"/>
      <c r="S14" s="15"/>
      <c r="T14" s="15"/>
    </row>
  </sheetData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Tornillo TR20x4</vt:lpstr>
      <vt:lpstr>Poleas y Correas</vt:lpstr>
      <vt:lpstr>Torque del motor v3</vt:lpstr>
      <vt:lpstr>Distancia entre ejes</vt:lpstr>
      <vt:lpstr>Esfuerzos en dientes de polea</vt:lpstr>
      <vt:lpstr>Torque del motor</vt:lpstr>
      <vt:lpstr>Torque del motor v2)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Diego Saavedra</cp:lastModifiedBy>
  <cp:revision/>
  <dcterms:created xsi:type="dcterms:W3CDTF">2022-10-19T18:41:13Z</dcterms:created>
  <dcterms:modified xsi:type="dcterms:W3CDTF">2025-12-13T15:42:10Z</dcterms:modified>
  <cp:category/>
  <cp:contentStatus/>
</cp:coreProperties>
</file>